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3.xml" ContentType="application/vnd.ms-excel.person+xml"/>
  <Override PartName="/xl/persons/person6.xml" ContentType="application/vnd.ms-excel.person+xml"/>
  <Override PartName="/xl/persons/person2.xml" ContentType="application/vnd.ms-excel.person+xml"/>
  <Override PartName="/xl/persons/person0.xml" ContentType="application/vnd.ms-excel.person+xml"/>
  <Override PartName="/xl/persons/person4.xml" ContentType="application/vnd.ms-excel.person+xml"/>
  <Override PartName="/xl/persons/person5.xml" ContentType="application/vnd.ms-excel.person+xml"/>
  <Override PartName="/xl/persons/person1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428DF0D-C582-452A-953E-538D936FF0F5}" xr6:coauthVersionLast="47" xr6:coauthVersionMax="47" xr10:uidLastSave="{00000000-0000-0000-0000-000000000000}"/>
  <bookViews>
    <workbookView xWindow="-108" yWindow="-108" windowWidth="23256" windowHeight="12576" tabRatio="874" activeTab="1" xr2:uid="{00000000-000D-0000-FFFF-FFFF00000000}"/>
  </bookViews>
  <sheets>
    <sheet name="SAISIE" sheetId="39" r:id="rId1"/>
    <sheet name="PQ Recettes" sheetId="52" r:id="rId2"/>
    <sheet name="PQ Encaissement" sheetId="50" r:id="rId3"/>
    <sheet name="Paramètres" sheetId="51" r:id="rId4"/>
  </sheets>
  <definedNames>
    <definedName name="_Annee">'PQ Encaissement'!$C$5</definedName>
    <definedName name="_Mois">'PQ Encaissement'!$C$6</definedName>
    <definedName name="_TVA1">#REF!</definedName>
    <definedName name="_TVA2">#REF!</definedName>
    <definedName name="_TVA3">#REF!</definedName>
    <definedName name="_TVA4">#REF!</definedName>
    <definedName name="_TVA5">#REF!</definedName>
    <definedName name="_TVA6">#REF!</definedName>
    <definedName name="_TVA7">#REF!</definedName>
    <definedName name="_TVA8">#REF!</definedName>
    <definedName name="_TVA9">#REF!</definedName>
    <definedName name="COM_AMEX">#REF!</definedName>
    <definedName name="COM_CB">#REF!</definedName>
    <definedName name="DonnéesExternes_1" localSheetId="2" hidden="1">'PQ Encaissement'!$B$9:$O$45</definedName>
    <definedName name="DonnéesExternes_1" localSheetId="1" hidden="1">'PQ Recettes'!$B$9:$P$60</definedName>
    <definedName name="ENCAISSEMENTS">#REF!</definedName>
    <definedName name="_xlnm.Print_Titles" localSheetId="0">SAISIE!$2:$3</definedName>
    <definedName name="l_Annee">t_Annee[Année]</definedName>
    <definedName name="l_Mois">t_Mois[Mois]</definedName>
    <definedName name="_xlnm.Print_Area" localSheetId="0">SAISIE!$E$2:$AM$133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1" i="52" l="1"/>
  <c r="D61" i="52"/>
  <c r="E61" i="52"/>
  <c r="F61" i="52"/>
  <c r="G61" i="52"/>
  <c r="H61" i="52"/>
  <c r="I61" i="52"/>
  <c r="J61" i="52"/>
  <c r="K61" i="52"/>
  <c r="L61" i="52"/>
  <c r="M61" i="52"/>
  <c r="N61" i="52"/>
  <c r="O61" i="52"/>
  <c r="P61" i="52"/>
  <c r="C6" i="52"/>
  <c r="C5" i="52"/>
  <c r="M46" i="50"/>
  <c r="D46" i="50"/>
  <c r="E46" i="50"/>
  <c r="F46" i="50"/>
  <c r="G46" i="50"/>
  <c r="H46" i="50"/>
  <c r="I46" i="50"/>
  <c r="J46" i="50"/>
  <c r="K46" i="50"/>
  <c r="L46" i="50"/>
  <c r="N46" i="50"/>
  <c r="O46" i="50"/>
  <c r="AN4" i="39"/>
  <c r="AN5" i="39"/>
  <c r="AN6" i="39"/>
  <c r="AN7" i="39"/>
  <c r="AN8" i="39"/>
  <c r="AN9" i="39"/>
  <c r="AN10" i="39"/>
  <c r="AN11" i="39"/>
  <c r="AN12" i="39"/>
  <c r="AN13" i="39"/>
  <c r="AN14" i="39"/>
  <c r="AN15" i="39"/>
  <c r="AN16" i="39"/>
  <c r="AN17" i="39"/>
  <c r="AN18" i="39"/>
  <c r="AN19" i="39"/>
  <c r="AN20" i="39"/>
  <c r="AN21" i="39"/>
  <c r="AN22" i="39"/>
  <c r="AN23" i="39"/>
  <c r="AN24" i="39"/>
  <c r="AN25" i="39"/>
  <c r="AN26" i="39"/>
  <c r="AN27" i="39"/>
  <c r="AN28" i="39"/>
  <c r="AN29" i="39"/>
  <c r="AN30" i="39"/>
  <c r="AN31" i="39"/>
  <c r="AN32" i="39"/>
  <c r="AN33" i="39"/>
  <c r="AN34" i="39"/>
  <c r="AN35" i="39"/>
  <c r="AN36" i="39"/>
  <c r="AN37" i="39"/>
  <c r="AN38" i="39"/>
  <c r="AN39" i="39"/>
  <c r="AN40" i="39"/>
  <c r="AN41" i="39"/>
  <c r="AN42" i="39"/>
  <c r="AN43" i="39"/>
  <c r="AN44" i="39"/>
  <c r="AN45" i="39"/>
  <c r="AN46" i="39"/>
  <c r="AN47" i="39"/>
  <c r="AN48" i="39"/>
  <c r="AN49" i="39"/>
  <c r="AN50" i="39"/>
  <c r="AN51" i="39"/>
  <c r="AN52" i="39"/>
  <c r="AN53" i="39"/>
  <c r="AN54" i="39"/>
  <c r="AN55" i="39"/>
  <c r="AN56" i="39"/>
  <c r="AN57" i="39"/>
  <c r="AN58" i="39"/>
  <c r="AN59" i="39"/>
  <c r="AN60" i="39"/>
  <c r="AN61" i="39"/>
  <c r="AN62" i="39"/>
  <c r="AN63" i="39"/>
  <c r="AN64" i="39"/>
  <c r="AN65" i="39"/>
  <c r="AN66" i="39"/>
  <c r="AN67" i="39"/>
  <c r="AN68" i="39"/>
  <c r="AN69" i="39"/>
  <c r="AN70" i="39"/>
  <c r="AN71" i="39"/>
  <c r="AN72" i="39"/>
  <c r="AN73" i="39"/>
  <c r="AN74" i="39"/>
  <c r="AN75" i="39"/>
  <c r="AN76" i="39"/>
  <c r="AN77" i="39"/>
  <c r="AN78" i="39"/>
  <c r="AN79" i="39"/>
  <c r="AN80" i="39"/>
  <c r="AN81" i="39"/>
  <c r="AN82" i="39"/>
  <c r="AN83" i="39"/>
  <c r="AN84" i="39"/>
  <c r="AN85" i="39"/>
  <c r="AN86" i="39"/>
  <c r="AN87" i="39"/>
  <c r="AN88" i="39"/>
  <c r="AN89" i="39"/>
  <c r="AN90" i="39"/>
  <c r="AN91" i="39"/>
  <c r="AN92" i="39"/>
  <c r="AN93" i="39"/>
  <c r="AN94" i="39"/>
  <c r="AN95" i="39"/>
  <c r="AN96" i="39"/>
  <c r="AN97" i="39"/>
  <c r="AN98" i="39"/>
  <c r="AN99" i="39"/>
  <c r="AN100" i="39"/>
  <c r="AN101" i="39"/>
  <c r="AN102" i="39"/>
  <c r="AN103" i="39"/>
  <c r="AN104" i="39"/>
  <c r="AN105" i="39"/>
  <c r="AN106" i="39"/>
  <c r="AN107" i="39"/>
  <c r="AN108" i="39"/>
  <c r="AN109" i="39"/>
  <c r="AN110" i="39"/>
  <c r="AN111" i="39"/>
  <c r="AN112" i="39"/>
  <c r="AN113" i="39"/>
  <c r="AN114" i="39"/>
  <c r="AN115" i="39"/>
  <c r="AN116" i="39"/>
  <c r="AN117" i="39"/>
  <c r="AN118" i="39"/>
  <c r="AN119" i="39"/>
  <c r="AN120" i="39"/>
  <c r="AN121" i="39"/>
  <c r="AN122" i="39"/>
  <c r="AN123" i="39"/>
  <c r="AN124" i="39"/>
  <c r="AN125" i="39"/>
  <c r="AN126" i="39"/>
  <c r="AN127" i="39"/>
  <c r="AN128" i="39"/>
  <c r="AN129" i="39"/>
  <c r="AN130" i="39"/>
  <c r="AN131" i="39"/>
  <c r="AN132" i="39"/>
  <c r="A4" i="39"/>
  <c r="B4" i="39" s="1"/>
  <c r="C4" i="39"/>
  <c r="E4" i="39"/>
  <c r="AA4" i="39" s="1"/>
  <c r="Z4" i="39"/>
  <c r="AK4" i="39"/>
  <c r="AM4" i="39" l="1"/>
  <c r="A5" i="39"/>
  <c r="B5" i="39" s="1"/>
  <c r="C5" i="39"/>
  <c r="E5" i="39"/>
  <c r="Z5" i="39"/>
  <c r="AA5" i="39"/>
  <c r="AK5" i="39"/>
  <c r="AM5" i="39" l="1"/>
  <c r="A6" i="39"/>
  <c r="B6" i="39" s="1"/>
  <c r="C6" i="39"/>
  <c r="E6" i="39"/>
  <c r="Z6" i="39"/>
  <c r="AA6" i="39"/>
  <c r="AK6" i="39"/>
  <c r="AM6" i="39" l="1"/>
  <c r="A7" i="39"/>
  <c r="B7" i="39" s="1"/>
  <c r="C7" i="39"/>
  <c r="E7" i="39"/>
  <c r="Z7" i="39"/>
  <c r="AA7" i="39"/>
  <c r="AK7" i="39"/>
  <c r="A8" i="39"/>
  <c r="B8" i="39" s="1"/>
  <c r="C8" i="39"/>
  <c r="E8" i="39"/>
  <c r="Z8" i="39"/>
  <c r="AA8" i="39"/>
  <c r="AK8" i="39"/>
  <c r="AM7" i="39" l="1"/>
  <c r="AM8" i="39"/>
  <c r="A9" i="39"/>
  <c r="B9" i="39" s="1"/>
  <c r="C9" i="39"/>
  <c r="E9" i="39"/>
  <c r="Z9" i="39"/>
  <c r="AA9" i="39"/>
  <c r="AK9" i="39"/>
  <c r="AM9" i="39" l="1"/>
  <c r="A10" i="39"/>
  <c r="B10" i="39" s="1"/>
  <c r="C10" i="39"/>
  <c r="E10" i="39"/>
  <c r="Z10" i="39"/>
  <c r="AA10" i="39"/>
  <c r="AK10" i="39"/>
  <c r="AM10" i="39" l="1"/>
  <c r="A11" i="39"/>
  <c r="B11" i="39" s="1"/>
  <c r="C11" i="39"/>
  <c r="E11" i="39"/>
  <c r="Z11" i="39"/>
  <c r="AA11" i="39"/>
  <c r="AK11" i="39"/>
  <c r="AM11" i="39" l="1"/>
  <c r="A12" i="39"/>
  <c r="B12" i="39" s="1"/>
  <c r="C12" i="39"/>
  <c r="E12" i="39"/>
  <c r="Z12" i="39"/>
  <c r="AA12" i="39"/>
  <c r="AK12" i="39"/>
  <c r="AM12" i="39" l="1"/>
  <c r="A13" i="39"/>
  <c r="B13" i="39" s="1"/>
  <c r="C13" i="39"/>
  <c r="E13" i="39"/>
  <c r="Z13" i="39"/>
  <c r="AK13" i="39"/>
  <c r="AM13" i="39" l="1"/>
  <c r="A14" i="39"/>
  <c r="B14" i="39" s="1"/>
  <c r="C14" i="39"/>
  <c r="E14" i="39"/>
  <c r="AA14" i="39" s="1"/>
  <c r="Z14" i="39"/>
  <c r="AK14" i="39"/>
  <c r="AM14" i="39" l="1"/>
  <c r="A15" i="39"/>
  <c r="B15" i="39" s="1"/>
  <c r="C15" i="39"/>
  <c r="E15" i="39"/>
  <c r="AA15" i="39" s="1"/>
  <c r="O15" i="39"/>
  <c r="Z15" i="39" s="1"/>
  <c r="AK15" i="39"/>
  <c r="A16" i="39"/>
  <c r="B16" i="39"/>
  <c r="C16" i="39"/>
  <c r="E16" i="39"/>
  <c r="AA16" i="39" s="1"/>
  <c r="O16" i="39"/>
  <c r="Z16" i="39" s="1"/>
  <c r="AK16" i="39"/>
  <c r="AM15" i="39" l="1"/>
  <c r="AM16" i="39"/>
  <c r="A17" i="39"/>
  <c r="B17" i="39" s="1"/>
  <c r="C17" i="39"/>
  <c r="E17" i="39"/>
  <c r="AA17" i="39" s="1"/>
  <c r="Z17" i="39"/>
  <c r="AK17" i="39"/>
  <c r="AM17" i="39" l="1"/>
  <c r="A18" i="39"/>
  <c r="B18" i="39" s="1"/>
  <c r="C18" i="39"/>
  <c r="E18" i="39"/>
  <c r="AA18" i="39" s="1"/>
  <c r="O18" i="39"/>
  <c r="Z18" i="39" s="1"/>
  <c r="AK18" i="39"/>
  <c r="AM18" i="39" l="1"/>
  <c r="A19" i="39"/>
  <c r="B19" i="39" s="1"/>
  <c r="C19" i="39"/>
  <c r="E19" i="39"/>
  <c r="AA19" i="39" s="1"/>
  <c r="O19" i="39"/>
  <c r="Z19" i="39" s="1"/>
  <c r="AM19" i="39" s="1"/>
  <c r="AK19" i="39"/>
  <c r="A20" i="39"/>
  <c r="B20" i="39" s="1"/>
  <c r="C20" i="39"/>
  <c r="E20" i="39"/>
  <c r="Z20" i="39"/>
  <c r="AA20" i="39"/>
  <c r="AK20" i="39"/>
  <c r="AM20" i="39" l="1"/>
  <c r="A21" i="39"/>
  <c r="B21" i="39" s="1"/>
  <c r="C21" i="39"/>
  <c r="E21" i="39"/>
  <c r="Z21" i="39"/>
  <c r="AA21" i="39"/>
  <c r="AK21" i="39"/>
  <c r="AM21" i="39" l="1"/>
  <c r="A22" i="39"/>
  <c r="B22" i="39" s="1"/>
  <c r="C22" i="39"/>
  <c r="E22" i="39"/>
  <c r="Z22" i="39"/>
  <c r="AA22" i="39"/>
  <c r="AK22" i="39"/>
  <c r="A23" i="39"/>
  <c r="B23" i="39" s="1"/>
  <c r="C23" i="39"/>
  <c r="E23" i="39"/>
  <c r="Z23" i="39"/>
  <c r="AA23" i="39"/>
  <c r="AK23" i="39"/>
  <c r="A24" i="39"/>
  <c r="B24" i="39" s="1"/>
  <c r="C24" i="39"/>
  <c r="E24" i="39"/>
  <c r="Z24" i="39"/>
  <c r="AA24" i="39"/>
  <c r="AK24" i="39"/>
  <c r="AM22" i="39" l="1"/>
  <c r="AM23" i="39"/>
  <c r="AM24" i="39"/>
  <c r="A25" i="39"/>
  <c r="B25" i="39" s="1"/>
  <c r="C25" i="39"/>
  <c r="E25" i="39"/>
  <c r="Z25" i="39"/>
  <c r="AA25" i="39"/>
  <c r="AK25" i="39"/>
  <c r="AM25" i="39" l="1"/>
  <c r="A26" i="39" l="1"/>
  <c r="B26" i="39" s="1"/>
  <c r="C26" i="39"/>
  <c r="E26" i="39"/>
  <c r="Z26" i="39"/>
  <c r="AK26" i="39"/>
  <c r="AM26" i="39" l="1"/>
  <c r="A27" i="39"/>
  <c r="B27" i="39" s="1"/>
  <c r="C27" i="39"/>
  <c r="E27" i="39"/>
  <c r="Z27" i="39"/>
  <c r="AK27" i="39"/>
  <c r="AM27" i="39" l="1"/>
  <c r="A28" i="39"/>
  <c r="B28" i="39" s="1"/>
  <c r="C28" i="39"/>
  <c r="E28" i="39"/>
  <c r="Z28" i="39"/>
  <c r="AK28" i="39"/>
  <c r="AM28" i="39" s="1"/>
  <c r="A29" i="39"/>
  <c r="B29" i="39" s="1"/>
  <c r="C29" i="39"/>
  <c r="E29" i="39"/>
  <c r="AA29" i="39" s="1"/>
  <c r="Z29" i="39"/>
  <c r="AK29" i="39"/>
  <c r="AM29" i="39" l="1"/>
  <c r="A30" i="39"/>
  <c r="B30" i="39" s="1"/>
  <c r="C30" i="39"/>
  <c r="E30" i="39"/>
  <c r="O30" i="39"/>
  <c r="Z30" i="39"/>
  <c r="AA30" i="39"/>
  <c r="AK30" i="39"/>
  <c r="AM30" i="39" l="1"/>
  <c r="A31" i="39"/>
  <c r="B31" i="39" s="1"/>
  <c r="C31" i="39"/>
  <c r="E31" i="39"/>
  <c r="O31" i="39"/>
  <c r="Z31" i="39"/>
  <c r="AA31" i="39"/>
  <c r="AK31" i="39"/>
  <c r="AM31" i="39" l="1"/>
  <c r="A32" i="39"/>
  <c r="B32" i="39" s="1"/>
  <c r="C32" i="39"/>
  <c r="E32" i="39"/>
  <c r="O32" i="39"/>
  <c r="Z32" i="39"/>
  <c r="AA32" i="39"/>
  <c r="AK32" i="39"/>
  <c r="AM32" i="39" l="1"/>
  <c r="A33" i="39"/>
  <c r="B33" i="39"/>
  <c r="C33" i="39"/>
  <c r="E33" i="39"/>
  <c r="O33" i="39"/>
  <c r="Z33" i="39" s="1"/>
  <c r="AA33" i="39"/>
  <c r="AK33" i="39"/>
  <c r="A34" i="39"/>
  <c r="B34" i="39"/>
  <c r="C34" i="39"/>
  <c r="E34" i="39"/>
  <c r="AA34" i="39" s="1"/>
  <c r="Z34" i="39"/>
  <c r="AK34" i="39"/>
  <c r="A35" i="39"/>
  <c r="B35" i="39" s="1"/>
  <c r="C35" i="39"/>
  <c r="E35" i="39"/>
  <c r="AA35" i="39" s="1"/>
  <c r="O35" i="39"/>
  <c r="Z35" i="39" s="1"/>
  <c r="AK35" i="39"/>
  <c r="A36" i="39"/>
  <c r="B36" i="39" s="1"/>
  <c r="C36" i="39"/>
  <c r="E36" i="39"/>
  <c r="Z36" i="39"/>
  <c r="AA36" i="39"/>
  <c r="AK36" i="39"/>
  <c r="A37" i="39"/>
  <c r="B37" i="39" s="1"/>
  <c r="C37" i="39"/>
  <c r="E37" i="39"/>
  <c r="Z37" i="39"/>
  <c r="AA37" i="39"/>
  <c r="AK37" i="39"/>
  <c r="AM33" i="39" l="1"/>
  <c r="AM35" i="39"/>
  <c r="AM36" i="39"/>
  <c r="AM34" i="39"/>
  <c r="AM37" i="39"/>
  <c r="A38" i="39"/>
  <c r="B38" i="39"/>
  <c r="C38" i="39"/>
  <c r="E38" i="39"/>
  <c r="Z38" i="39"/>
  <c r="AA38" i="39"/>
  <c r="AK38" i="39"/>
  <c r="AM38" i="39" l="1"/>
  <c r="A39" i="39"/>
  <c r="B39" i="39" s="1"/>
  <c r="C39" i="39"/>
  <c r="E39" i="39"/>
  <c r="O39" i="39"/>
  <c r="Z39" i="39" s="1"/>
  <c r="AK39" i="39"/>
  <c r="A40" i="39"/>
  <c r="B40" i="39" s="1"/>
  <c r="C40" i="39"/>
  <c r="E40" i="39"/>
  <c r="Z40" i="39"/>
  <c r="AK40" i="39"/>
  <c r="AM40" i="39" s="1"/>
  <c r="P129" i="39"/>
  <c r="Z129" i="39" s="1"/>
  <c r="AB129" i="39"/>
  <c r="AK129" i="39" s="1"/>
  <c r="AE131" i="39"/>
  <c r="AK131" i="39" s="1"/>
  <c r="O128" i="39"/>
  <c r="Z128" i="39" s="1"/>
  <c r="A123" i="39"/>
  <c r="B123" i="39" s="1"/>
  <c r="A124" i="39"/>
  <c r="B124" i="39" s="1"/>
  <c r="A125" i="39"/>
  <c r="A126" i="39"/>
  <c r="A127" i="39"/>
  <c r="A128" i="39"/>
  <c r="B128" i="39" s="1"/>
  <c r="A129" i="39"/>
  <c r="B129" i="39" s="1"/>
  <c r="A130" i="39"/>
  <c r="B130" i="39" s="1"/>
  <c r="A131" i="39"/>
  <c r="B131" i="39" s="1"/>
  <c r="A132" i="39"/>
  <c r="B132" i="39" s="1"/>
  <c r="B125" i="39"/>
  <c r="B126" i="39"/>
  <c r="B127" i="39"/>
  <c r="C123" i="39"/>
  <c r="C124" i="39"/>
  <c r="C125" i="39"/>
  <c r="C126" i="39"/>
  <c r="C127" i="39"/>
  <c r="C128" i="39"/>
  <c r="C129" i="39"/>
  <c r="C130" i="39"/>
  <c r="C131" i="39"/>
  <c r="C132" i="39"/>
  <c r="E123" i="39"/>
  <c r="E124" i="39"/>
  <c r="AA124" i="39" s="1"/>
  <c r="E125" i="39"/>
  <c r="E126" i="39"/>
  <c r="E127" i="39"/>
  <c r="E128" i="39"/>
  <c r="AA128" i="39" s="1"/>
  <c r="E129" i="39"/>
  <c r="E130" i="39"/>
  <c r="AA130" i="39" s="1"/>
  <c r="E131" i="39"/>
  <c r="AA131" i="39" s="1"/>
  <c r="E132" i="39"/>
  <c r="Z123" i="39"/>
  <c r="Z124" i="39"/>
  <c r="Z125" i="39"/>
  <c r="Z126" i="39"/>
  <c r="Z127" i="39"/>
  <c r="Z130" i="39"/>
  <c r="Z131" i="39"/>
  <c r="Z132" i="39"/>
  <c r="AA125" i="39"/>
  <c r="AK123" i="39"/>
  <c r="AK124" i="39"/>
  <c r="AK125" i="39"/>
  <c r="AK126" i="39"/>
  <c r="AK127" i="39"/>
  <c r="AK128" i="39"/>
  <c r="AK130" i="39"/>
  <c r="AK132" i="39"/>
  <c r="O116" i="39"/>
  <c r="Z116" i="39" s="1"/>
  <c r="O115" i="39"/>
  <c r="Z115" i="39" s="1"/>
  <c r="O113" i="39"/>
  <c r="Z113" i="39" s="1"/>
  <c r="A113" i="39"/>
  <c r="B113" i="39" s="1"/>
  <c r="A114" i="39"/>
  <c r="B114" i="39" s="1"/>
  <c r="A115" i="39"/>
  <c r="B115" i="39" s="1"/>
  <c r="A116" i="39"/>
  <c r="B116" i="39" s="1"/>
  <c r="A117" i="39"/>
  <c r="B117" i="39" s="1"/>
  <c r="A118" i="39"/>
  <c r="B118" i="39" s="1"/>
  <c r="A119" i="39"/>
  <c r="B119" i="39" s="1"/>
  <c r="A120" i="39"/>
  <c r="B120" i="39" s="1"/>
  <c r="A121" i="39"/>
  <c r="B121" i="39" s="1"/>
  <c r="A122" i="39"/>
  <c r="B122" i="39" s="1"/>
  <c r="C113" i="39"/>
  <c r="C114" i="39"/>
  <c r="C115" i="39"/>
  <c r="C116" i="39"/>
  <c r="C117" i="39"/>
  <c r="C118" i="39"/>
  <c r="C119" i="39"/>
  <c r="C120" i="39"/>
  <c r="C121" i="39"/>
  <c r="C122" i="39"/>
  <c r="E113" i="39"/>
  <c r="AA113" i="39" s="1"/>
  <c r="E114" i="39"/>
  <c r="E115" i="39"/>
  <c r="AA115" i="39" s="1"/>
  <c r="E116" i="39"/>
  <c r="AA116" i="39" s="1"/>
  <c r="E117" i="39"/>
  <c r="E118" i="39"/>
  <c r="E119" i="39"/>
  <c r="AA119" i="39" s="1"/>
  <c r="E120" i="39"/>
  <c r="E121" i="39"/>
  <c r="AA121" i="39" s="1"/>
  <c r="E122" i="39"/>
  <c r="AA122" i="39" s="1"/>
  <c r="Z114" i="39"/>
  <c r="Z117" i="39"/>
  <c r="Z118" i="39"/>
  <c r="Z119" i="39"/>
  <c r="Z120" i="39"/>
  <c r="Z121" i="39"/>
  <c r="Z122" i="39"/>
  <c r="AA117" i="39"/>
  <c r="AA120" i="39"/>
  <c r="AK113" i="39"/>
  <c r="AK114" i="39"/>
  <c r="AK115" i="39"/>
  <c r="AK116" i="39"/>
  <c r="AK117" i="39"/>
  <c r="AK118" i="39"/>
  <c r="AK119" i="39"/>
  <c r="AK120" i="39"/>
  <c r="AK121" i="39"/>
  <c r="AK122" i="39"/>
  <c r="W138" i="39"/>
  <c r="O112" i="39"/>
  <c r="Z112" i="39" s="1"/>
  <c r="O111" i="39"/>
  <c r="Z111" i="39" s="1"/>
  <c r="W104" i="39"/>
  <c r="Z104" i="39" s="1"/>
  <c r="A99" i="39"/>
  <c r="B99" i="39" s="1"/>
  <c r="A100" i="39"/>
  <c r="B100" i="39" s="1"/>
  <c r="A101" i="39"/>
  <c r="B101" i="39" s="1"/>
  <c r="A102" i="39"/>
  <c r="B102" i="39" s="1"/>
  <c r="A103" i="39"/>
  <c r="B103" i="39" s="1"/>
  <c r="A104" i="39"/>
  <c r="B104" i="39" s="1"/>
  <c r="A105" i="39"/>
  <c r="B105" i="39" s="1"/>
  <c r="A106" i="39"/>
  <c r="B106" i="39" s="1"/>
  <c r="A107" i="39"/>
  <c r="B107" i="39" s="1"/>
  <c r="A108" i="39"/>
  <c r="B108" i="39" s="1"/>
  <c r="A109" i="39"/>
  <c r="B109" i="39" s="1"/>
  <c r="A110" i="39"/>
  <c r="B110" i="39" s="1"/>
  <c r="A111" i="39"/>
  <c r="B111" i="39" s="1"/>
  <c r="A112" i="39"/>
  <c r="B112" i="39" s="1"/>
  <c r="C99" i="39"/>
  <c r="C100" i="39"/>
  <c r="C101" i="39"/>
  <c r="C102" i="39"/>
  <c r="C103" i="39"/>
  <c r="C104" i="39"/>
  <c r="C105" i="39"/>
  <c r="C106" i="39"/>
  <c r="C107" i="39"/>
  <c r="C108" i="39"/>
  <c r="C109" i="39"/>
  <c r="C110" i="39"/>
  <c r="C111" i="39"/>
  <c r="C112" i="39"/>
  <c r="E99" i="39"/>
  <c r="E100" i="39"/>
  <c r="AA100" i="39" s="1"/>
  <c r="E101" i="39"/>
  <c r="E102" i="39"/>
  <c r="AA102" i="39" s="1"/>
  <c r="E103" i="39"/>
  <c r="AA103" i="39" s="1"/>
  <c r="E104" i="39"/>
  <c r="AA104" i="39" s="1"/>
  <c r="E105" i="39"/>
  <c r="AA105" i="39" s="1"/>
  <c r="E106" i="39"/>
  <c r="AA106" i="39" s="1"/>
  <c r="E107" i="39"/>
  <c r="E108" i="39"/>
  <c r="AA108" i="39" s="1"/>
  <c r="E109" i="39"/>
  <c r="AA109" i="39" s="1"/>
  <c r="E110" i="39"/>
  <c r="E111" i="39"/>
  <c r="AA111" i="39" s="1"/>
  <c r="E112" i="39"/>
  <c r="AA112" i="39" s="1"/>
  <c r="Z99" i="39"/>
  <c r="Z100" i="39"/>
  <c r="Z101" i="39"/>
  <c r="Z102" i="39"/>
  <c r="Z103" i="39"/>
  <c r="Z105" i="39"/>
  <c r="Z106" i="39"/>
  <c r="Z107" i="39"/>
  <c r="Z108" i="39"/>
  <c r="Z109" i="39"/>
  <c r="Z110" i="39"/>
  <c r="AA101" i="39"/>
  <c r="AA107" i="39"/>
  <c r="AA110" i="39"/>
  <c r="AK99" i="39"/>
  <c r="AK100" i="39"/>
  <c r="AK101" i="39"/>
  <c r="AK102" i="39"/>
  <c r="AK103" i="39"/>
  <c r="AK104" i="39"/>
  <c r="AK105" i="39"/>
  <c r="AK106" i="39"/>
  <c r="AK107" i="39"/>
  <c r="AK108" i="39"/>
  <c r="AK109" i="39"/>
  <c r="AK110" i="39"/>
  <c r="AK111" i="39"/>
  <c r="AK112" i="39"/>
  <c r="O95" i="39"/>
  <c r="Z95" i="39" s="1"/>
  <c r="A98" i="39"/>
  <c r="B98" i="39" s="1"/>
  <c r="C98" i="39"/>
  <c r="E98" i="39"/>
  <c r="Z98" i="39"/>
  <c r="AK98" i="39"/>
  <c r="A89" i="39"/>
  <c r="B89" i="39" s="1"/>
  <c r="A90" i="39"/>
  <c r="B90" i="39" s="1"/>
  <c r="A91" i="39"/>
  <c r="B91" i="39" s="1"/>
  <c r="A92" i="39"/>
  <c r="B92" i="39" s="1"/>
  <c r="A93" i="39"/>
  <c r="B93" i="39" s="1"/>
  <c r="A94" i="39"/>
  <c r="B94" i="39" s="1"/>
  <c r="A95" i="39"/>
  <c r="B95" i="39" s="1"/>
  <c r="A96" i="39"/>
  <c r="B96" i="39" s="1"/>
  <c r="A97" i="39"/>
  <c r="B97" i="39" s="1"/>
  <c r="C89" i="39"/>
  <c r="C90" i="39"/>
  <c r="C91" i="39"/>
  <c r="C92" i="39"/>
  <c r="C93" i="39"/>
  <c r="C94" i="39"/>
  <c r="C95" i="39"/>
  <c r="C96" i="39"/>
  <c r="C97" i="39"/>
  <c r="E89" i="39"/>
  <c r="AA89" i="39" s="1"/>
  <c r="E90" i="39"/>
  <c r="E91" i="39"/>
  <c r="E92" i="39"/>
  <c r="E93" i="39"/>
  <c r="AA93" i="39" s="1"/>
  <c r="E94" i="39"/>
  <c r="E95" i="39"/>
  <c r="AA95" i="39" s="1"/>
  <c r="E96" i="39"/>
  <c r="E97" i="39"/>
  <c r="AA97" i="39" s="1"/>
  <c r="Z89" i="39"/>
  <c r="Z90" i="39"/>
  <c r="Z91" i="39"/>
  <c r="Z92" i="39"/>
  <c r="Z93" i="39"/>
  <c r="Z94" i="39"/>
  <c r="Z96" i="39"/>
  <c r="Z97" i="39"/>
  <c r="AA90" i="39"/>
  <c r="AA91" i="39"/>
  <c r="AA92" i="39"/>
  <c r="AA94" i="39"/>
  <c r="AA96" i="39"/>
  <c r="AK89" i="39"/>
  <c r="AK90" i="39"/>
  <c r="AK91" i="39"/>
  <c r="AK92" i="39"/>
  <c r="AK93" i="39"/>
  <c r="AK94" i="39"/>
  <c r="AK95" i="39"/>
  <c r="AK96" i="39"/>
  <c r="AK97" i="39"/>
  <c r="O88" i="39"/>
  <c r="Z88" i="39" s="1"/>
  <c r="O87" i="39"/>
  <c r="Z87" i="39" s="1"/>
  <c r="AB84" i="39"/>
  <c r="AK84" i="39" s="1"/>
  <c r="O83" i="39"/>
  <c r="Z83" i="39" s="1"/>
  <c r="O82" i="39"/>
  <c r="Z82" i="39" s="1"/>
  <c r="A82" i="39"/>
  <c r="B82" i="39" s="1"/>
  <c r="A83" i="39"/>
  <c r="B83" i="39" s="1"/>
  <c r="A84" i="39"/>
  <c r="B84" i="39" s="1"/>
  <c r="A85" i="39"/>
  <c r="B85" i="39" s="1"/>
  <c r="A86" i="39"/>
  <c r="B86" i="39" s="1"/>
  <c r="A87" i="39"/>
  <c r="B87" i="39" s="1"/>
  <c r="A88" i="39"/>
  <c r="B88" i="39" s="1"/>
  <c r="C82" i="39"/>
  <c r="C83" i="39"/>
  <c r="C84" i="39"/>
  <c r="C85" i="39"/>
  <c r="C86" i="39"/>
  <c r="C87" i="39"/>
  <c r="C88" i="39"/>
  <c r="E82" i="39"/>
  <c r="E83" i="39"/>
  <c r="E84" i="39"/>
  <c r="AA84" i="39" s="1"/>
  <c r="E85" i="39"/>
  <c r="E86" i="39"/>
  <c r="E87" i="39"/>
  <c r="AA87" i="39" s="1"/>
  <c r="E88" i="39"/>
  <c r="Z84" i="39"/>
  <c r="Z85" i="39"/>
  <c r="Z86" i="39"/>
  <c r="AA85" i="39"/>
  <c r="AA86" i="39"/>
  <c r="AK82" i="39"/>
  <c r="AK83" i="39"/>
  <c r="AK85" i="39"/>
  <c r="AK86" i="39"/>
  <c r="AK87" i="39"/>
  <c r="AK88" i="39"/>
  <c r="J149" i="39"/>
  <c r="J150" i="39" s="1"/>
  <c r="AM39" i="39" l="1"/>
  <c r="AM117" i="39"/>
  <c r="AM116" i="39"/>
  <c r="AM123" i="39"/>
  <c r="AM132" i="39"/>
  <c r="AM131" i="39"/>
  <c r="AM130" i="39"/>
  <c r="AM127" i="39"/>
  <c r="AM126" i="39"/>
  <c r="AM125" i="39"/>
  <c r="AM129" i="39"/>
  <c r="AM128" i="39"/>
  <c r="AM124" i="39"/>
  <c r="AM114" i="39"/>
  <c r="AM120" i="39"/>
  <c r="AM119" i="39"/>
  <c r="AM121" i="39"/>
  <c r="AM115" i="39"/>
  <c r="AM118" i="39"/>
  <c r="AM122" i="39"/>
  <c r="AM113" i="39"/>
  <c r="AM110" i="39"/>
  <c r="AM108" i="39"/>
  <c r="AM107" i="39"/>
  <c r="AM102" i="39"/>
  <c r="AM112" i="39"/>
  <c r="AM111" i="39"/>
  <c r="AM104" i="39"/>
  <c r="AM103" i="39"/>
  <c r="AM100" i="39"/>
  <c r="AM99" i="39"/>
  <c r="AM109" i="39"/>
  <c r="AM101" i="39"/>
  <c r="AM106" i="39"/>
  <c r="AM105" i="39"/>
  <c r="AM98" i="39"/>
  <c r="AM94" i="39"/>
  <c r="AM93" i="39"/>
  <c r="AM90" i="39"/>
  <c r="AM92" i="39"/>
  <c r="AM91" i="39"/>
  <c r="AM95" i="39"/>
  <c r="AM89" i="39"/>
  <c r="AM96" i="39"/>
  <c r="AM97" i="39"/>
  <c r="AM83" i="39"/>
  <c r="AM86" i="39"/>
  <c r="AM88" i="39"/>
  <c r="AM87" i="39"/>
  <c r="AM82" i="39"/>
  <c r="AM85" i="39"/>
  <c r="AM84" i="39"/>
  <c r="A70" i="39"/>
  <c r="B70" i="39" s="1"/>
  <c r="C70" i="39"/>
  <c r="E70" i="39"/>
  <c r="Z70" i="39"/>
  <c r="AA70" i="39"/>
  <c r="AK70" i="39"/>
  <c r="AA81" i="39"/>
  <c r="AA80" i="39"/>
  <c r="AA79" i="39"/>
  <c r="AA78" i="39"/>
  <c r="AA77" i="39"/>
  <c r="AA69" i="39"/>
  <c r="AA68" i="39"/>
  <c r="AA67" i="39"/>
  <c r="AA66" i="39"/>
  <c r="AA65" i="39"/>
  <c r="AA64" i="39"/>
  <c r="AA55" i="39"/>
  <c r="AA54" i="39"/>
  <c r="AA53" i="39"/>
  <c r="AA52" i="39"/>
  <c r="AA45" i="39"/>
  <c r="AA44" i="39"/>
  <c r="O73" i="39"/>
  <c r="Z73" i="39" s="1"/>
  <c r="O72" i="39"/>
  <c r="Z72" i="39" s="1"/>
  <c r="O75" i="39"/>
  <c r="Z75" i="39" s="1"/>
  <c r="O59" i="39"/>
  <c r="Z59" i="39" s="1"/>
  <c r="O58" i="39"/>
  <c r="Z58" i="39" s="1"/>
  <c r="O49" i="39"/>
  <c r="Z49" i="39" s="1"/>
  <c r="O48" i="39"/>
  <c r="Z48" i="39" s="1"/>
  <c r="O43" i="39"/>
  <c r="Z43" i="39" s="1"/>
  <c r="E41" i="39"/>
  <c r="AA41" i="39" s="1"/>
  <c r="E44" i="39"/>
  <c r="E45" i="39"/>
  <c r="E42" i="39"/>
  <c r="AA42" i="39" s="1"/>
  <c r="E43" i="39"/>
  <c r="AA43" i="39" s="1"/>
  <c r="E52" i="39"/>
  <c r="E53" i="39"/>
  <c r="E48" i="39"/>
  <c r="AA48" i="39" s="1"/>
  <c r="E49" i="39"/>
  <c r="AA49" i="39" s="1"/>
  <c r="E50" i="39"/>
  <c r="AA50" i="39" s="1"/>
  <c r="E54" i="39"/>
  <c r="E55" i="39"/>
  <c r="E46" i="39"/>
  <c r="E51" i="39"/>
  <c r="AA51" i="39" s="1"/>
  <c r="E47" i="39"/>
  <c r="E58" i="39"/>
  <c r="AA58" i="39" s="1"/>
  <c r="E59" i="39"/>
  <c r="AA59" i="39" s="1"/>
  <c r="E64" i="39"/>
  <c r="E65" i="39"/>
  <c r="E66" i="39"/>
  <c r="E67" i="39"/>
  <c r="E56" i="39"/>
  <c r="E68" i="39"/>
  <c r="E69" i="39"/>
  <c r="E60" i="39"/>
  <c r="AA60" i="39" s="1"/>
  <c r="E61" i="39"/>
  <c r="AA61" i="39" s="1"/>
  <c r="E62" i="39"/>
  <c r="AA62" i="39" s="1"/>
  <c r="E63" i="39"/>
  <c r="AA63" i="39" s="1"/>
  <c r="E57" i="39"/>
  <c r="E74" i="39"/>
  <c r="AA74" i="39" s="1"/>
  <c r="E77" i="39"/>
  <c r="E78" i="39"/>
  <c r="E75" i="39"/>
  <c r="AA75" i="39" s="1"/>
  <c r="E79" i="39"/>
  <c r="E71" i="39"/>
  <c r="E72" i="39"/>
  <c r="E73" i="39"/>
  <c r="E80" i="39"/>
  <c r="E81" i="39"/>
  <c r="E76" i="39"/>
  <c r="AA76" i="39" s="1"/>
  <c r="A41" i="39"/>
  <c r="B41" i="39" s="1"/>
  <c r="A44" i="39"/>
  <c r="B44" i="39" s="1"/>
  <c r="A45" i="39"/>
  <c r="B45" i="39" s="1"/>
  <c r="A42" i="39"/>
  <c r="B42" i="39" s="1"/>
  <c r="A43" i="39"/>
  <c r="B43" i="39" s="1"/>
  <c r="A52" i="39"/>
  <c r="B52" i="39" s="1"/>
  <c r="A53" i="39"/>
  <c r="B53" i="39" s="1"/>
  <c r="A48" i="39"/>
  <c r="B48" i="39" s="1"/>
  <c r="A49" i="39"/>
  <c r="B49" i="39" s="1"/>
  <c r="A50" i="39"/>
  <c r="B50" i="39" s="1"/>
  <c r="A54" i="39"/>
  <c r="B54" i="39" s="1"/>
  <c r="A55" i="39"/>
  <c r="B55" i="39" s="1"/>
  <c r="A46" i="39"/>
  <c r="B46" i="39" s="1"/>
  <c r="A51" i="39"/>
  <c r="B51" i="39" s="1"/>
  <c r="A47" i="39"/>
  <c r="B47" i="39" s="1"/>
  <c r="A58" i="39"/>
  <c r="B58" i="39" s="1"/>
  <c r="A59" i="39"/>
  <c r="B59" i="39" s="1"/>
  <c r="A64" i="39"/>
  <c r="B64" i="39" s="1"/>
  <c r="A65" i="39"/>
  <c r="B65" i="39" s="1"/>
  <c r="A66" i="39"/>
  <c r="B66" i="39" s="1"/>
  <c r="A67" i="39"/>
  <c r="B67" i="39" s="1"/>
  <c r="A56" i="39"/>
  <c r="B56" i="39" s="1"/>
  <c r="A68" i="39"/>
  <c r="B68" i="39" s="1"/>
  <c r="A69" i="39"/>
  <c r="B69" i="39" s="1"/>
  <c r="A60" i="39"/>
  <c r="B60" i="39" s="1"/>
  <c r="A61" i="39"/>
  <c r="B61" i="39" s="1"/>
  <c r="A62" i="39"/>
  <c r="B62" i="39" s="1"/>
  <c r="A63" i="39"/>
  <c r="B63" i="39" s="1"/>
  <c r="A57" i="39"/>
  <c r="B57" i="39" s="1"/>
  <c r="A74" i="39"/>
  <c r="B74" i="39" s="1"/>
  <c r="A77" i="39"/>
  <c r="B77" i="39" s="1"/>
  <c r="A78" i="39"/>
  <c r="B78" i="39" s="1"/>
  <c r="A75" i="39"/>
  <c r="B75" i="39" s="1"/>
  <c r="A79" i="39"/>
  <c r="B79" i="39" s="1"/>
  <c r="A71" i="39"/>
  <c r="B71" i="39" s="1"/>
  <c r="A72" i="39"/>
  <c r="B72" i="39" s="1"/>
  <c r="A73" i="39"/>
  <c r="B73" i="39" s="1"/>
  <c r="A80" i="39"/>
  <c r="B80" i="39" s="1"/>
  <c r="A81" i="39"/>
  <c r="B81" i="39" s="1"/>
  <c r="A76" i="39"/>
  <c r="B76" i="39" s="1"/>
  <c r="C41" i="39"/>
  <c r="C44" i="39"/>
  <c r="C45" i="39"/>
  <c r="C42" i="39"/>
  <c r="C43" i="39"/>
  <c r="C52" i="39"/>
  <c r="C53" i="39"/>
  <c r="C48" i="39"/>
  <c r="C49" i="39"/>
  <c r="C50" i="39"/>
  <c r="C54" i="39"/>
  <c r="C55" i="39"/>
  <c r="C46" i="39"/>
  <c r="C51" i="39"/>
  <c r="C47" i="39"/>
  <c r="C58" i="39"/>
  <c r="C59" i="39"/>
  <c r="C64" i="39"/>
  <c r="C65" i="39"/>
  <c r="C66" i="39"/>
  <c r="C67" i="39"/>
  <c r="C56" i="39"/>
  <c r="C68" i="39"/>
  <c r="C69" i="39"/>
  <c r="C60" i="39"/>
  <c r="C61" i="39"/>
  <c r="C62" i="39"/>
  <c r="C63" i="39"/>
  <c r="C57" i="39"/>
  <c r="C74" i="39"/>
  <c r="C77" i="39"/>
  <c r="C78" i="39"/>
  <c r="C75" i="39"/>
  <c r="C79" i="39"/>
  <c r="C71" i="39"/>
  <c r="C72" i="39"/>
  <c r="C73" i="39"/>
  <c r="C80" i="39"/>
  <c r="C81" i="39"/>
  <c r="C76" i="39"/>
  <c r="Z41" i="39"/>
  <c r="Z44" i="39"/>
  <c r="Z45" i="39"/>
  <c r="Z42" i="39"/>
  <c r="Z52" i="39"/>
  <c r="Z53" i="39"/>
  <c r="Z50" i="39"/>
  <c r="Z54" i="39"/>
  <c r="Z55" i="39"/>
  <c r="Z46" i="39"/>
  <c r="Z51" i="39"/>
  <c r="Z47" i="39"/>
  <c r="Z64" i="39"/>
  <c r="Z65" i="39"/>
  <c r="Z66" i="39"/>
  <c r="Z67" i="39"/>
  <c r="Z56" i="39"/>
  <c r="Z68" i="39"/>
  <c r="Z69" i="39"/>
  <c r="Z60" i="39"/>
  <c r="Z61" i="39"/>
  <c r="Z62" i="39"/>
  <c r="Z63" i="39"/>
  <c r="Z57" i="39"/>
  <c r="Z74" i="39"/>
  <c r="Z77" i="39"/>
  <c r="Z78" i="39"/>
  <c r="Z79" i="39"/>
  <c r="Z71" i="39"/>
  <c r="Z80" i="39"/>
  <c r="Z81" i="39"/>
  <c r="Z76" i="39"/>
  <c r="AK41" i="39"/>
  <c r="AK44" i="39"/>
  <c r="AK45" i="39"/>
  <c r="AK42" i="39"/>
  <c r="AK43" i="39"/>
  <c r="AK52" i="39"/>
  <c r="AK53" i="39"/>
  <c r="AK48" i="39"/>
  <c r="AK49" i="39"/>
  <c r="AK50" i="39"/>
  <c r="AK54" i="39"/>
  <c r="AK55" i="39"/>
  <c r="AK46" i="39"/>
  <c r="AK51" i="39"/>
  <c r="AK47" i="39"/>
  <c r="AK58" i="39"/>
  <c r="AK59" i="39"/>
  <c r="AK64" i="39"/>
  <c r="AK65" i="39"/>
  <c r="AK66" i="39"/>
  <c r="AK67" i="39"/>
  <c r="AK56" i="39"/>
  <c r="AK68" i="39"/>
  <c r="AK69" i="39"/>
  <c r="AK60" i="39"/>
  <c r="AK61" i="39"/>
  <c r="AK62" i="39"/>
  <c r="AK63" i="39"/>
  <c r="AK57" i="39"/>
  <c r="AK74" i="39"/>
  <c r="AK77" i="39"/>
  <c r="AK78" i="39"/>
  <c r="AK75" i="39"/>
  <c r="AK79" i="39"/>
  <c r="AK71" i="39"/>
  <c r="AK72" i="39"/>
  <c r="AK73" i="39"/>
  <c r="AK80" i="39"/>
  <c r="AK81" i="39"/>
  <c r="AK76" i="39"/>
  <c r="AM70" i="39" l="1"/>
  <c r="AM63" i="39"/>
  <c r="AM66" i="39"/>
  <c r="AM55" i="39"/>
  <c r="AM68" i="39"/>
  <c r="AM77" i="39"/>
  <c r="AM47" i="39"/>
  <c r="AM71" i="39"/>
  <c r="AM62" i="39"/>
  <c r="AM65" i="39"/>
  <c r="AM54" i="39"/>
  <c r="AM67" i="39"/>
  <c r="AM81" i="39"/>
  <c r="AM41" i="39"/>
  <c r="AM72" i="39"/>
  <c r="AM53" i="39"/>
  <c r="AM42" i="39"/>
  <c r="AM73" i="39"/>
  <c r="AM57" i="39"/>
  <c r="AM46" i="39"/>
  <c r="AM43" i="39"/>
  <c r="AM48" i="39"/>
  <c r="AM76" i="39"/>
  <c r="AM78" i="39"/>
  <c r="AM69" i="39"/>
  <c r="AM58" i="39"/>
  <c r="AM80" i="39"/>
  <c r="AM74" i="39"/>
  <c r="AM56" i="39"/>
  <c r="AM52" i="39"/>
  <c r="AM51" i="39"/>
  <c r="AM79" i="39"/>
  <c r="AM61" i="39"/>
  <c r="AM64" i="39"/>
  <c r="AM50" i="39"/>
  <c r="AM45" i="39"/>
  <c r="AM75" i="39"/>
  <c r="AM60" i="39"/>
  <c r="AM59" i="39"/>
  <c r="AM49" i="39"/>
  <c r="AM44" i="39"/>
  <c r="AB140" i="39" l="1"/>
  <c r="AA146" i="39" l="1"/>
  <c r="AA150" i="39"/>
  <c r="T146" i="39"/>
  <c r="S146" i="39"/>
  <c r="O145" i="39"/>
  <c r="M133" i="39"/>
  <c r="O151" i="39" s="1"/>
  <c r="L133" i="39"/>
  <c r="O150" i="39" s="1"/>
  <c r="H133" i="39" l="1"/>
  <c r="F135" i="39" s="1"/>
  <c r="AK141" i="39"/>
  <c r="H139" i="39" l="1"/>
  <c r="H140" i="39" s="1"/>
  <c r="J133" i="39" l="1"/>
  <c r="P147" i="39" s="1"/>
  <c r="O146" i="39" l="1"/>
  <c r="O147" i="39" s="1"/>
  <c r="K133" i="39" l="1"/>
  <c r="O148" i="39" s="1"/>
  <c r="O149" i="39" s="1"/>
  <c r="AL133" i="39" l="1"/>
  <c r="AE133" i="39"/>
  <c r="AF133" i="39"/>
  <c r="AG133" i="39"/>
  <c r="AH133" i="39"/>
  <c r="AI133" i="39"/>
  <c r="AJ133" i="39"/>
  <c r="AD133" i="39"/>
  <c r="AC133" i="39"/>
  <c r="H142" i="39" l="1"/>
  <c r="H141" i="39"/>
  <c r="D142" i="39"/>
  <c r="D141" i="39"/>
  <c r="D143" i="39" l="1"/>
  <c r="E142" i="39"/>
  <c r="E141" i="39"/>
  <c r="H143" i="39"/>
  <c r="I142" i="39"/>
  <c r="I141" i="39"/>
  <c r="AB133" i="39" l="1"/>
  <c r="I137" i="39" l="1"/>
  <c r="T133" i="39"/>
  <c r="R136" i="39" s="1"/>
  <c r="R135" i="39" s="1"/>
  <c r="U133" i="39"/>
  <c r="S136" i="39" s="1"/>
  <c r="S135" i="39" s="1"/>
  <c r="V133" i="39"/>
  <c r="T136" i="39" s="1"/>
  <c r="T135" i="39" s="1"/>
  <c r="P133" i="39"/>
  <c r="N136" i="39" s="1"/>
  <c r="N135" i="39" s="1"/>
  <c r="K137" i="39"/>
  <c r="J137" i="39"/>
  <c r="N133" i="39" l="1"/>
  <c r="O152" i="39" s="1"/>
  <c r="O153" i="39" s="1"/>
  <c r="R137" i="39"/>
  <c r="T137" i="39"/>
  <c r="S137" i="39"/>
  <c r="W133" i="39"/>
  <c r="F136" i="39" s="1"/>
  <c r="Q133" i="39"/>
  <c r="O136" i="39" s="1"/>
  <c r="O135" i="39" s="1"/>
  <c r="L137" i="39" l="1"/>
  <c r="I138" i="39" s="1"/>
  <c r="R133" i="39"/>
  <c r="P136" i="39" s="1"/>
  <c r="P135" i="39" s="1"/>
  <c r="P137" i="39" s="1"/>
  <c r="O133" i="39"/>
  <c r="AK133" i="39"/>
  <c r="O137" i="39"/>
  <c r="N137" i="39"/>
  <c r="S133" i="39"/>
  <c r="Q136" i="39" s="1"/>
  <c r="X140" i="39" l="1"/>
  <c r="X141" i="39" s="1"/>
  <c r="M136" i="39"/>
  <c r="Q135" i="39"/>
  <c r="Q137" i="39" s="1"/>
  <c r="AM133" i="39"/>
  <c r="AJ134" i="39" s="1"/>
  <c r="Z133" i="39"/>
  <c r="X139" i="39" s="1"/>
  <c r="M135" i="39" l="1"/>
  <c r="M137" i="39" s="1"/>
  <c r="X136" i="39"/>
  <c r="X135" i="39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63C551-472B-4DF0-9FFA-429B2EE5A74A}" keepAlive="1" name="Requête - _Annee" description="Connexion à la requête « _Annee » dans le classeur." type="5" refreshedVersion="0" background="1">
    <dbPr connection="Provider=Microsoft.Mashup.OleDb.1;Data Source=$Workbook$;Location=_Annee;Extended Properties=&quot;&quot;" command="SELECT * FROM [_Annee]"/>
  </connection>
  <connection id="2" xr16:uid="{B014C5A6-3DDC-48FE-B6FF-027491B3BCED}" keepAlive="1" name="Requête - _Mois" description="Connexion à la requête « _Mois » dans le classeur." type="5" refreshedVersion="0" background="1">
    <dbPr connection="Provider=Microsoft.Mashup.OleDb.1;Data Source=$Workbook$;Location=_Mois;Extended Properties=&quot;&quot;" command="SELECT * FROM [_Mois]"/>
  </connection>
  <connection id="3" xr16:uid="{9CF25E52-885B-4A78-89F3-86C8470C79E4}" keepAlive="1" name="Requête - DONNEES Encaissement" description="Connexion à la requête « DONNEES Encaissement » dans le classeur." type="5" refreshedVersion="0" background="1">
    <dbPr connection="Provider=Microsoft.Mashup.OleDb.1;Data Source=$Workbook$;Location=&quot;DONNEES Encaissement&quot;;Extended Properties=&quot;&quot;" command="SELECT * FROM [DONNEES Encaissement]"/>
  </connection>
  <connection id="4" xr16:uid="{920B382D-FBF2-4A25-889A-74E2728F2FAF}" keepAlive="1" name="Requête - DONNEES Recettes" description="Connexion à la requête « DONNEES Recettes » dans le classeur." type="5" refreshedVersion="0" background="1">
    <dbPr connection="Provider=Microsoft.Mashup.OleDb.1;Data Source=$Workbook$;Location=&quot;DONNEES Recettes&quot;;Extended Properties=&quot;&quot;" command="SELECT * FROM [DONNEES Recettes]"/>
  </connection>
  <connection id="5" xr16:uid="{F8CDB5F1-826B-4974-9BA1-1797A40961D6}" keepAlive="1" name="Requête - Encaissement" description="Connexion à la requête « Encaissement » dans le classeur." type="5" refreshedVersion="7" background="1" saveData="1">
    <dbPr connection="Provider=Microsoft.Mashup.OleDb.1;Data Source=$Workbook$;Location=Encaissement;Extended Properties=&quot;&quot;" command="SELECT * FROM [Encaissement]"/>
  </connection>
  <connection id="6" xr16:uid="{5B9E8ADF-799E-46FB-98CB-552F56873262}" keepAlive="1" name="Requête - Recettes" description="Connexion à la requête « Recettes » dans le classeur." type="5" refreshedVersion="7" background="1" saveData="1">
    <dbPr connection="Provider=Microsoft.Mashup.OleDb.1;Data Source=$Workbook$;Location=Recettes;Extended Properties=&quot;&quot;" command="SELECT * FROM [Recettes]"/>
  </connection>
</connections>
</file>

<file path=xl/sharedStrings.xml><?xml version="1.0" encoding="utf-8"?>
<sst xmlns="http://schemas.openxmlformats.org/spreadsheetml/2006/main" count="520" uniqueCount="194">
  <si>
    <t>TVA</t>
  </si>
  <si>
    <t>AMEX</t>
  </si>
  <si>
    <t>HOTEL LA COUR CARREE</t>
  </si>
  <si>
    <t>TTC</t>
  </si>
  <si>
    <t>HT</t>
  </si>
  <si>
    <t>PKG</t>
  </si>
  <si>
    <t>% TVA</t>
  </si>
  <si>
    <t>CHQ BANCAIRE</t>
  </si>
  <si>
    <t>ACPTE RECU</t>
  </si>
  <si>
    <t>ACPTE RENDU</t>
  </si>
  <si>
    <t>CHAMB.</t>
  </si>
  <si>
    <t>CHQ VAC.</t>
  </si>
  <si>
    <t>TOTAL TTC FACTURE</t>
  </si>
  <si>
    <t>TOTAL TTC ENCAISSE</t>
  </si>
  <si>
    <t>FACTURES</t>
  </si>
  <si>
    <t>VIRMT</t>
  </si>
  <si>
    <t>NOM</t>
  </si>
  <si>
    <t>CB
EMV</t>
  </si>
  <si>
    <t>CB
VAD</t>
  </si>
  <si>
    <t>DIFFERE
RECU</t>
  </si>
  <si>
    <t>DIFFERE
ATTENTE</t>
  </si>
  <si>
    <t>LCC</t>
  </si>
  <si>
    <t>ESPECES</t>
  </si>
  <si>
    <t>CH</t>
  </si>
  <si>
    <t>ALC</t>
  </si>
  <si>
    <t>DIV</t>
  </si>
  <si>
    <t>BOISS</t>
  </si>
  <si>
    <t>PDJ</t>
  </si>
  <si>
    <t>RESTO</t>
  </si>
  <si>
    <t>PRESG</t>
  </si>
  <si>
    <t>TS</t>
  </si>
  <si>
    <t>CB
SS CTC</t>
  </si>
  <si>
    <t>#</t>
  </si>
  <si>
    <t>PERS</t>
  </si>
  <si>
    <t>PARK</t>
  </si>
  <si>
    <t>EXTRA</t>
  </si>
  <si>
    <t>RESA</t>
  </si>
  <si>
    <t>D</t>
  </si>
  <si>
    <t>R</t>
  </si>
  <si>
    <t>BK</t>
  </si>
  <si>
    <t>AM</t>
  </si>
  <si>
    <t>ADAM</t>
  </si>
  <si>
    <t>NB PDJ</t>
  </si>
  <si>
    <t>DATE
PAIEMT</t>
  </si>
  <si>
    <t>PLBS</t>
  </si>
  <si>
    <t>Blanc</t>
  </si>
  <si>
    <t>Recouche</t>
  </si>
  <si>
    <t/>
  </si>
  <si>
    <t>NB JOUR MOIS</t>
  </si>
  <si>
    <t>ARRET COMPTA</t>
  </si>
  <si>
    <t>LEMAIRE</t>
  </si>
  <si>
    <t>WRIGHT</t>
  </si>
  <si>
    <t>LACOSTE</t>
  </si>
  <si>
    <t>CHALLIER (ONESPAN)</t>
  </si>
  <si>
    <t>TVA 10%</t>
  </si>
  <si>
    <t>TVA 20%</t>
  </si>
  <si>
    <t>MEUNIER</t>
  </si>
  <si>
    <t>LEROUX</t>
  </si>
  <si>
    <t>ABBANE</t>
  </si>
  <si>
    <t>PAUTHENIER</t>
  </si>
  <si>
    <t>CUBILLE</t>
  </si>
  <si>
    <t>PETIT</t>
  </si>
  <si>
    <t>BACHIMONT</t>
  </si>
  <si>
    <t>BAGNOL</t>
  </si>
  <si>
    <t>TEULADE</t>
  </si>
  <si>
    <t>GOILLANDEAU</t>
  </si>
  <si>
    <t>RODGER</t>
  </si>
  <si>
    <t>SIO</t>
  </si>
  <si>
    <t>HENNEQUIN</t>
  </si>
  <si>
    <t>SPANJARD</t>
  </si>
  <si>
    <t>BONNEAU</t>
  </si>
  <si>
    <t>LAMSIRAROJ</t>
  </si>
  <si>
    <t>TO</t>
  </si>
  <si>
    <t>NB NUITEES</t>
  </si>
  <si>
    <t>NB JOURS</t>
  </si>
  <si>
    <t>NB NUITEES MAX</t>
  </si>
  <si>
    <t>PM</t>
  </si>
  <si>
    <t>NB CH POSSIBLE</t>
  </si>
  <si>
    <t>GAUTHIER</t>
  </si>
  <si>
    <t>ENCAISSEMENTS</t>
  </si>
  <si>
    <t>JAZIRI</t>
  </si>
  <si>
    <t>????</t>
  </si>
  <si>
    <t>€ HT MOYEN / JOUR</t>
  </si>
  <si>
    <t>CA HT #</t>
  </si>
  <si>
    <t>CA HT PDJ</t>
  </si>
  <si>
    <t>CA HT PK</t>
  </si>
  <si>
    <t>CA HT EXTRA</t>
  </si>
  <si>
    <t>CA HT</t>
  </si>
  <si>
    <t>NUITEE</t>
  </si>
  <si>
    <t>0401</t>
  </si>
  <si>
    <t>LAFARGUE</t>
  </si>
  <si>
    <t>METIVIER</t>
  </si>
  <si>
    <t>DATE PAIE</t>
  </si>
  <si>
    <t>TABLEAU DE FACTURATION MENSUELLE</t>
  </si>
  <si>
    <t>TABLEAU D'ENCAISSEMENT MENSUEL</t>
  </si>
  <si>
    <t>ROCQUE</t>
  </si>
  <si>
    <t>MAGAT</t>
  </si>
  <si>
    <t>FORT</t>
  </si>
  <si>
    <t>JOUR</t>
  </si>
  <si>
    <t>NUM JOUR</t>
  </si>
  <si>
    <t>NUM SEM AM</t>
  </si>
  <si>
    <t>DEP
REC</t>
  </si>
  <si>
    <t>FENAL</t>
  </si>
  <si>
    <t>BESLIN</t>
  </si>
  <si>
    <t>PFEIFFER</t>
  </si>
  <si>
    <t>MAUNIER</t>
  </si>
  <si>
    <t>DESLANDES</t>
  </si>
  <si>
    <t>ALONSO-LAMBERTI</t>
  </si>
  <si>
    <t>BONJA</t>
  </si>
  <si>
    <t>JOURDAA</t>
  </si>
  <si>
    <t>ORAYEN</t>
  </si>
  <si>
    <t>BURET</t>
  </si>
  <si>
    <t>BELLELI</t>
  </si>
  <si>
    <t>FORTUNATO</t>
  </si>
  <si>
    <t>MASELLA</t>
  </si>
  <si>
    <t>DEBRETAGNE</t>
  </si>
  <si>
    <t>MEJIAS</t>
  </si>
  <si>
    <t>BONNAL</t>
  </si>
  <si>
    <t>FIDANZA</t>
  </si>
  <si>
    <t>IRIART</t>
  </si>
  <si>
    <t>GUO</t>
  </si>
  <si>
    <t>DIAGOURAGA</t>
  </si>
  <si>
    <t>IDJERI</t>
  </si>
  <si>
    <t>VACHERON</t>
  </si>
  <si>
    <t>PEZZETA</t>
  </si>
  <si>
    <t>LEGRIS</t>
  </si>
  <si>
    <t>CHAN</t>
  </si>
  <si>
    <t>ANGLES</t>
  </si>
  <si>
    <t>DUNOGUIES</t>
  </si>
  <si>
    <t>DUCHESNE</t>
  </si>
  <si>
    <t>MUSCAT</t>
  </si>
  <si>
    <t>MONGEOT</t>
  </si>
  <si>
    <t>HORN</t>
  </si>
  <si>
    <t>DEPART</t>
  </si>
  <si>
    <t>CANTET</t>
  </si>
  <si>
    <t>JOMAIN</t>
  </si>
  <si>
    <t>RAEMAEKERS</t>
  </si>
  <si>
    <t>DAXHELET</t>
  </si>
  <si>
    <t>RIOU</t>
  </si>
  <si>
    <t>LADEUZE</t>
  </si>
  <si>
    <t>LANNES</t>
  </si>
  <si>
    <t>ALCAZAR</t>
  </si>
  <si>
    <t>LOPEZ ORTEGA</t>
  </si>
  <si>
    <t>DAMESTOY</t>
  </si>
  <si>
    <t>PANIAGUA</t>
  </si>
  <si>
    <t>ETXEBARRIA</t>
  </si>
  <si>
    <t>LISEI</t>
  </si>
  <si>
    <t>THOMAZO</t>
  </si>
  <si>
    <t>TRAN KHANH VIET</t>
  </si>
  <si>
    <t>DUCHAMP</t>
  </si>
  <si>
    <t>PIOU</t>
  </si>
  <si>
    <t>MASOROCIC</t>
  </si>
  <si>
    <t>ROQUE</t>
  </si>
  <si>
    <t>NUSSBAUMER</t>
  </si>
  <si>
    <t>COURCELLE</t>
  </si>
  <si>
    <t>PAVLOVSKY</t>
  </si>
  <si>
    <t>STOCKLI</t>
  </si>
  <si>
    <t>LARDILLIER</t>
  </si>
  <si>
    <t>CABANIS</t>
  </si>
  <si>
    <t>LAGARRIGUE</t>
  </si>
  <si>
    <t>NEANT</t>
  </si>
  <si>
    <t>DESPOUY</t>
  </si>
  <si>
    <t>CORDINA</t>
  </si>
  <si>
    <t>PETIT-PERROT</t>
  </si>
  <si>
    <t>mars</t>
  </si>
  <si>
    <t>mai</t>
  </si>
  <si>
    <t>juin</t>
  </si>
  <si>
    <t>août</t>
  </si>
  <si>
    <t>Année</t>
  </si>
  <si>
    <t>Mois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</si>
  <si>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</si>
  <si>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</si>
  <si>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</si>
  <si>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</si>
  <si>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</si>
  <si>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</si>
  <si>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</si>
  <si>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</si>
  <si>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Total</t>
  </si>
  <si>
    <t>Date départ</t>
  </si>
  <si>
    <t>Chamb HT</t>
  </si>
  <si>
    <t>PDJ HT</t>
  </si>
  <si>
    <t>Boiss. HT</t>
  </si>
  <si>
    <t>Alc. HT</t>
  </si>
  <si>
    <t>Resto HT</t>
  </si>
  <si>
    <t>PKG HT</t>
  </si>
  <si>
    <t>Presg. HT</t>
  </si>
  <si>
    <t>Div. HT</t>
  </si>
  <si>
    <t>Total HT</t>
  </si>
  <si>
    <t>Taxe séjour</t>
  </si>
  <si>
    <t>Total TTC</t>
  </si>
  <si>
    <t>Total facturé</t>
  </si>
  <si>
    <t>Le choix est commun aux deux requêtes</t>
  </si>
  <si>
    <t>Onglet Données, Requêtes et connexions, Actualiser tout : pour actualiser suite au changement de valeur Année &amp;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</si>
</sst>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%"/>
    <numFmt numFmtId="165" formatCode="[$-40C]d\-mmm;@"/>
    <numFmt numFmtId="166" formatCode="[$-40C]ddd"/>
    <numFmt numFmtId="167" formatCode="dd/mm/yyyy;dd/mm/yyyy;"/>
    <numFmt numFmtId="169" formatCode="#,##0.00;\-#,##0.00;"/>
  </numFmts>
  <fonts count="16" x14ac:knownFonts="1">
    <font>
      <sz val="10"/>
      <name val="MS Sans Serif"/>
    </font>
    <font>
      <sz val="10"/>
      <name val="MS Sans Serif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name val="Arial"/>
      <family val="2"/>
    </font>
    <font>
      <b/>
      <sz val="20"/>
      <name val="Arial"/>
      <family val="2"/>
    </font>
    <font>
      <b/>
      <sz val="10"/>
      <name val="MS Sans Serif"/>
    </font>
    <font>
      <i/>
      <sz val="10"/>
      <name val="Calibri"/>
      <family val="2"/>
      <scheme val="minor"/>
    </font>
    <font>
      <sz val="10"/>
      <color theme="1"/>
      <name val="MS Sans Serif"/>
    </font>
    <font>
      <sz val="8"/>
      <name val="MS Sans Serif"/>
    </font>
    <font>
      <b/>
      <sz val="10"/>
      <color theme="0"/>
      <name val="MS Sans Serif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dotted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dotted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 style="thin">
        <color theme="9" tint="0.39994506668294322"/>
      </right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 style="thin">
        <color theme="9" tint="0.39994506668294322"/>
      </right>
      <top/>
      <bottom style="thin">
        <color theme="9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4" fontId="4" fillId="3" borderId="3" xfId="0" applyNumberFormat="1" applyFont="1" applyFill="1" applyBorder="1" applyAlignment="1">
      <alignment horizontal="right" vertical="center"/>
    </xf>
    <xf numFmtId="4" fontId="3" fillId="0" borderId="4" xfId="0" applyNumberFormat="1" applyFont="1" applyBorder="1" applyAlignment="1">
      <alignment vertical="center"/>
    </xf>
    <xf numFmtId="4" fontId="3" fillId="0" borderId="5" xfId="0" applyNumberFormat="1" applyFont="1" applyBorder="1" applyAlignment="1">
      <alignment vertical="center"/>
    </xf>
    <xf numFmtId="4" fontId="3" fillId="0" borderId="6" xfId="0" applyNumberFormat="1" applyFont="1" applyBorder="1" applyAlignment="1">
      <alignment vertical="center"/>
    </xf>
    <xf numFmtId="4" fontId="3" fillId="0" borderId="7" xfId="0" applyNumberFormat="1" applyFont="1" applyBorder="1" applyAlignment="1">
      <alignment vertical="center"/>
    </xf>
    <xf numFmtId="4" fontId="3" fillId="0" borderId="8" xfId="0" applyNumberFormat="1" applyFont="1" applyBorder="1" applyAlignment="1">
      <alignment vertical="center"/>
    </xf>
    <xf numFmtId="16" fontId="3" fillId="0" borderId="8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center" vertical="center"/>
    </xf>
    <xf numFmtId="4" fontId="3" fillId="0" borderId="7" xfId="0" applyNumberFormat="1" applyFont="1" applyBorder="1" applyAlignment="1">
      <alignment horizontal="center" vertical="center"/>
    </xf>
    <xf numFmtId="4" fontId="3" fillId="0" borderId="0" xfId="0" applyNumberFormat="1" applyFont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3" fillId="0" borderId="0" xfId="0" applyFont="1" applyAlignment="1">
      <alignment horizontal="right" vertical="center"/>
    </xf>
    <xf numFmtId="4" fontId="6" fillId="3" borderId="9" xfId="0" applyNumberFormat="1" applyFont="1" applyFill="1" applyBorder="1" applyAlignment="1">
      <alignment horizontal="right" vertical="center"/>
    </xf>
    <xf numFmtId="0" fontId="3" fillId="0" borderId="0" xfId="0" applyFont="1" applyAlignment="1">
      <alignment horizontal="left" vertical="center"/>
    </xf>
    <xf numFmtId="9" fontId="3" fillId="0" borderId="0" xfId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4" fontId="5" fillId="3" borderId="0" xfId="0" applyNumberFormat="1" applyFont="1" applyFill="1" applyAlignment="1">
      <alignment horizontal="right" vertical="center"/>
    </xf>
    <xf numFmtId="4" fontId="5" fillId="5" borderId="0" xfId="0" applyNumberFormat="1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4" fontId="4" fillId="3" borderId="0" xfId="0" applyNumberFormat="1" applyFont="1" applyFill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9" fontId="3" fillId="0" borderId="0" xfId="1" applyFont="1" applyBorder="1" applyAlignment="1">
      <alignment vertical="center"/>
    </xf>
    <xf numFmtId="4" fontId="5" fillId="0" borderId="0" xfId="0" applyNumberFormat="1" applyFont="1" applyAlignment="1">
      <alignment horizontal="right" vertical="center"/>
    </xf>
    <xf numFmtId="4" fontId="4" fillId="0" borderId="0" xfId="0" applyNumberFormat="1" applyFont="1" applyAlignment="1">
      <alignment horizontal="right" vertical="center"/>
    </xf>
    <xf numFmtId="2" fontId="3" fillId="0" borderId="0" xfId="0" applyNumberFormat="1" applyFont="1" applyAlignment="1">
      <alignment vertic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4" fontId="3" fillId="0" borderId="10" xfId="0" applyNumberFormat="1" applyFont="1" applyBorder="1" applyAlignment="1">
      <alignment vertical="center"/>
    </xf>
    <xf numFmtId="4" fontId="3" fillId="0" borderId="11" xfId="0" applyNumberFormat="1" applyFont="1" applyBorder="1" applyAlignment="1">
      <alignment vertical="center"/>
    </xf>
    <xf numFmtId="4" fontId="3" fillId="0" borderId="13" xfId="0" applyNumberFormat="1" applyFont="1" applyBorder="1" applyAlignment="1">
      <alignment vertical="center"/>
    </xf>
    <xf numFmtId="4" fontId="3" fillId="0" borderId="14" xfId="0" applyNumberFormat="1" applyFont="1" applyBorder="1" applyAlignment="1">
      <alignment vertical="center"/>
    </xf>
    <xf numFmtId="4" fontId="3" fillId="0" borderId="12" xfId="0" applyNumberFormat="1" applyFont="1" applyBorder="1" applyAlignment="1">
      <alignment vertical="center"/>
    </xf>
    <xf numFmtId="0" fontId="7" fillId="2" borderId="21" xfId="0" applyFont="1" applyFill="1" applyBorder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7" fillId="2" borderId="23" xfId="0" applyFont="1" applyFill="1" applyBorder="1" applyAlignment="1">
      <alignment horizontal="center" vertical="center" wrapText="1"/>
    </xf>
    <xf numFmtId="0" fontId="7" fillId="2" borderId="24" xfId="0" applyFont="1" applyFill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4" fontId="3" fillId="0" borderId="16" xfId="0" applyNumberFormat="1" applyFont="1" applyBorder="1" applyAlignment="1">
      <alignment vertical="center"/>
    </xf>
    <xf numFmtId="4" fontId="4" fillId="3" borderId="27" xfId="0" applyNumberFormat="1" applyFont="1" applyFill="1" applyBorder="1" applyAlignment="1">
      <alignment horizontal="right" vertical="center"/>
    </xf>
    <xf numFmtId="4" fontId="3" fillId="0" borderId="11" xfId="0" applyNumberFormat="1" applyFont="1" applyBorder="1" applyAlignment="1">
      <alignment horizontal="center" vertical="center"/>
    </xf>
    <xf numFmtId="4" fontId="3" fillId="0" borderId="28" xfId="0" applyNumberFormat="1" applyFont="1" applyBorder="1" applyAlignment="1">
      <alignment vertical="center"/>
    </xf>
    <xf numFmtId="0" fontId="3" fillId="0" borderId="0" xfId="0" quotePrefix="1" applyFont="1" applyAlignment="1">
      <alignment vertical="center"/>
    </xf>
    <xf numFmtId="4" fontId="3" fillId="6" borderId="5" xfId="0" applyNumberFormat="1" applyFont="1" applyFill="1" applyBorder="1" applyAlignment="1">
      <alignment vertical="center"/>
    </xf>
    <xf numFmtId="4" fontId="3" fillId="6" borderId="4" xfId="0" applyNumberFormat="1" applyFont="1" applyFill="1" applyBorder="1" applyAlignment="1">
      <alignment vertical="center"/>
    </xf>
    <xf numFmtId="3" fontId="3" fillId="0" borderId="0" xfId="0" applyNumberFormat="1" applyFont="1" applyAlignment="1">
      <alignment horizontal="right" vertical="center"/>
    </xf>
    <xf numFmtId="3" fontId="0" fillId="0" borderId="0" xfId="0" applyNumberFormat="1" applyAlignment="1">
      <alignment horizontal="right" vertical="center"/>
    </xf>
    <xf numFmtId="164" fontId="3" fillId="0" borderId="0" xfId="1" applyNumberFormat="1" applyFont="1" applyAlignment="1">
      <alignment horizontal="center" vertical="center"/>
    </xf>
    <xf numFmtId="4" fontId="4" fillId="0" borderId="31" xfId="0" applyNumberFormat="1" applyFont="1" applyBorder="1" applyAlignment="1">
      <alignment vertical="center"/>
    </xf>
    <xf numFmtId="2" fontId="3" fillId="0" borderId="0" xfId="0" applyNumberFormat="1" applyFont="1" applyAlignment="1">
      <alignment horizontal="right" vertical="center"/>
    </xf>
    <xf numFmtId="16" fontId="3" fillId="0" borderId="0" xfId="0" applyNumberFormat="1" applyFont="1" applyAlignment="1">
      <alignment vertical="center"/>
    </xf>
    <xf numFmtId="0" fontId="3" fillId="4" borderId="0" xfId="0" applyFont="1" applyFill="1" applyAlignment="1">
      <alignment horizontal="right" vertical="center"/>
    </xf>
    <xf numFmtId="164" fontId="4" fillId="7" borderId="0" xfId="1" applyNumberFormat="1" applyFont="1" applyFill="1" applyAlignment="1">
      <alignment horizontal="right" vertical="center"/>
    </xf>
    <xf numFmtId="4" fontId="4" fillId="7" borderId="0" xfId="0" applyNumberFormat="1" applyFont="1" applyFill="1" applyAlignment="1">
      <alignment horizontal="right" vertical="center"/>
    </xf>
    <xf numFmtId="0" fontId="4" fillId="7" borderId="0" xfId="0" applyFont="1" applyFill="1" applyAlignment="1">
      <alignment horizontal="right" vertical="center"/>
    </xf>
    <xf numFmtId="164" fontId="3" fillId="0" borderId="0" xfId="1" applyNumberFormat="1" applyFont="1" applyAlignment="1">
      <alignment vertical="center"/>
    </xf>
    <xf numFmtId="0" fontId="8" fillId="2" borderId="18" xfId="0" applyFont="1" applyFill="1" applyBorder="1" applyAlignment="1">
      <alignment horizontal="centerContinuous" vertical="center"/>
    </xf>
    <xf numFmtId="0" fontId="8" fillId="2" borderId="19" xfId="0" applyFont="1" applyFill="1" applyBorder="1" applyAlignment="1">
      <alignment horizontal="centerContinuous" vertical="center"/>
    </xf>
    <xf numFmtId="0" fontId="8" fillId="2" borderId="20" xfId="0" applyFont="1" applyFill="1" applyBorder="1" applyAlignment="1">
      <alignment horizontal="centerContinuous" vertical="center"/>
    </xf>
    <xf numFmtId="3" fontId="4" fillId="0" borderId="0" xfId="0" applyNumberFormat="1" applyFont="1" applyAlignment="1">
      <alignment horizontal="right" vertical="center"/>
    </xf>
    <xf numFmtId="3" fontId="4" fillId="0" borderId="0" xfId="0" applyNumberFormat="1" applyFont="1" applyAlignment="1">
      <alignment vertical="center"/>
    </xf>
    <xf numFmtId="16" fontId="3" fillId="0" borderId="0" xfId="0" applyNumberFormat="1" applyFont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4" fontId="3" fillId="6" borderId="16" xfId="0" applyNumberFormat="1" applyFont="1" applyFill="1" applyBorder="1" applyAlignment="1">
      <alignment vertical="center"/>
    </xf>
    <xf numFmtId="16" fontId="3" fillId="0" borderId="10" xfId="0" applyNumberFormat="1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 vertical="center"/>
    </xf>
    <xf numFmtId="4" fontId="3" fillId="0" borderId="12" xfId="0" applyNumberFormat="1" applyFont="1" applyBorder="1" applyAlignment="1">
      <alignment horizontal="center" vertical="center"/>
    </xf>
    <xf numFmtId="1" fontId="5" fillId="2" borderId="15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4" fontId="3" fillId="9" borderId="7" xfId="0" applyNumberFormat="1" applyFont="1" applyFill="1" applyBorder="1" applyAlignment="1">
      <alignment vertical="center"/>
    </xf>
    <xf numFmtId="0" fontId="5" fillId="2" borderId="29" xfId="0" applyFont="1" applyFill="1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/>
    </xf>
    <xf numFmtId="0" fontId="8" fillId="2" borderId="34" xfId="0" applyFont="1" applyFill="1" applyBorder="1" applyAlignment="1">
      <alignment horizontal="centerContinuous" vertical="center"/>
    </xf>
    <xf numFmtId="0" fontId="8" fillId="2" borderId="32" xfId="0" applyFont="1" applyFill="1" applyBorder="1" applyAlignment="1">
      <alignment horizontal="centerContinuous" vertical="center"/>
    </xf>
    <xf numFmtId="0" fontId="8" fillId="2" borderId="15" xfId="0" applyFont="1" applyFill="1" applyBorder="1" applyAlignment="1">
      <alignment horizontal="centerContinuous" vertical="center"/>
    </xf>
    <xf numFmtId="165" fontId="4" fillId="0" borderId="33" xfId="0" applyNumberFormat="1" applyFont="1" applyBorder="1" applyAlignment="1">
      <alignment horizontal="center" vertical="center"/>
    </xf>
    <xf numFmtId="165" fontId="4" fillId="0" borderId="27" xfId="0" applyNumberFormat="1" applyFont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 wrapText="1"/>
    </xf>
    <xf numFmtId="1" fontId="3" fillId="0" borderId="5" xfId="0" applyNumberFormat="1" applyFont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166" fontId="3" fillId="0" borderId="8" xfId="0" applyNumberFormat="1" applyFont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 wrapText="1"/>
    </xf>
    <xf numFmtId="1" fontId="3" fillId="0" borderId="36" xfId="0" applyNumberFormat="1" applyFont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1" fillId="0" borderId="0" xfId="0" applyFont="1"/>
    <xf numFmtId="9" fontId="3" fillId="0" borderId="0" xfId="1" applyFont="1" applyAlignment="1">
      <alignment horizontal="right" vertical="center"/>
    </xf>
    <xf numFmtId="0" fontId="5" fillId="2" borderId="11" xfId="0" applyFont="1" applyFill="1" applyBorder="1" applyAlignment="1">
      <alignment horizontal="center" vertical="center" wrapText="1"/>
    </xf>
    <xf numFmtId="166" fontId="3" fillId="0" borderId="10" xfId="0" applyNumberFormat="1" applyFont="1" applyBorder="1" applyAlignment="1">
      <alignment horizontal="center" vertical="center"/>
    </xf>
    <xf numFmtId="1" fontId="3" fillId="0" borderId="11" xfId="0" applyNumberFormat="1" applyFont="1" applyBorder="1" applyAlignment="1">
      <alignment horizontal="center" vertical="center"/>
    </xf>
    <xf numFmtId="1" fontId="3" fillId="0" borderId="35" xfId="0" applyNumberFormat="1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 vertical="center"/>
    </xf>
    <xf numFmtId="165" fontId="4" fillId="0" borderId="30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right" vertical="center"/>
    </xf>
    <xf numFmtId="4" fontId="5" fillId="3" borderId="30" xfId="0" applyNumberFormat="1" applyFont="1" applyFill="1" applyBorder="1" applyAlignment="1">
      <alignment horizontal="right" vertical="center"/>
    </xf>
    <xf numFmtId="3" fontId="12" fillId="0" borderId="0" xfId="0" applyNumberFormat="1" applyFont="1" applyAlignment="1">
      <alignment vertical="center"/>
    </xf>
    <xf numFmtId="0" fontId="12" fillId="0" borderId="0" xfId="0" applyFont="1" applyAlignment="1">
      <alignment horizontal="left" vertical="center"/>
    </xf>
    <xf numFmtId="167" fontId="3" fillId="0" borderId="0" xfId="0" applyNumberFormat="1" applyFont="1" applyAlignment="1">
      <alignment horizontal="center" vertical="center"/>
    </xf>
    <xf numFmtId="167" fontId="3" fillId="0" borderId="17" xfId="0" applyNumberFormat="1" applyFont="1" applyBorder="1" applyAlignment="1">
      <alignment horizontal="center" vertical="center"/>
    </xf>
    <xf numFmtId="0" fontId="15" fillId="11" borderId="37" xfId="0" applyFont="1" applyFill="1" applyBorder="1" applyAlignment="1">
      <alignment horizontal="left" indent="1"/>
    </xf>
    <xf numFmtId="0" fontId="13" fillId="12" borderId="38" xfId="0" applyFont="1" applyFill="1" applyBorder="1" applyAlignment="1">
      <alignment horizontal="left" indent="1"/>
    </xf>
    <xf numFmtId="0" fontId="15" fillId="11" borderId="39" xfId="0" applyFont="1" applyFill="1" applyBorder="1" applyAlignment="1">
      <alignment horizontal="left" indent="1"/>
    </xf>
    <xf numFmtId="0" fontId="13" fillId="12" borderId="40" xfId="0" applyFont="1" applyFill="1" applyBorder="1" applyAlignment="1">
      <alignment horizontal="left" indent="1"/>
    </xf>
    <xf numFmtId="4" fontId="4" fillId="0" borderId="0" xfId="0" applyNumberFormat="1" applyFont="1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left" indent="1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9" fontId="0" fillId="0" borderId="0" xfId="0" applyNumberFormat="1"/>
    <xf numFmtId="0" fontId="15" fillId="14" borderId="0" xfId="0" applyFont="1" applyFill="1" applyBorder="1" applyAlignment="1">
      <alignment horizontal="left" indent="1"/>
    </xf>
    <xf numFmtId="0" fontId="13" fillId="13" borderId="0" xfId="0" applyNumberFormat="1" applyFont="1" applyFill="1" applyBorder="1" applyAlignment="1">
      <alignment horizontal="left" indent="1"/>
    </xf>
    <xf numFmtId="169" fontId="13" fillId="13" borderId="0" xfId="0" applyNumberFormat="1" applyFont="1" applyFill="1" applyBorder="1" applyAlignment="1">
      <alignment horizontal="left" indent="1"/>
    </xf>
    <xf numFmtId="0" fontId="10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14" fontId="10" fillId="8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48"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69" formatCode="#,##0.00;\-#,##0.00;"/>
    </dxf>
    <dxf>
      <numFmt numFmtId="19" formatCode="dd/mm/yyyy"/>
      <alignment horizontal="center" vertical="bottom" textRotation="0" wrapText="0" indent="0" justifyLastLine="0" shrinkToFit="0" readingOrder="0"/>
    </dxf>
    <dxf>
      <font>
        <color theme="0" tint="-0.1499679555650502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7" formatCode="dd/mm/yyyy;dd/mm/yyyy;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/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ck">
          <color auto="1"/>
        </top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[$-40C]ddd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dotted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[$-40C]ddd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/>
        <vertical/>
        <horizontal/>
      </border>
    </dxf>
    <dxf>
      <border>
        <top style="thick">
          <color auto="1"/>
        </top>
      </border>
    </dxf>
    <dxf>
      <border outline="0">
        <left style="thick">
          <color auto="1"/>
        </left>
        <right style="thick">
          <color auto="1"/>
        </right>
        <top style="medium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ill>
        <patternFill patternType="solid">
          <fgColor theme="8" tint="0.79995117038483843"/>
          <bgColor theme="9" tint="0.79998168889431442"/>
        </patternFill>
      </fill>
    </dxf>
    <dxf>
      <fill>
        <patternFill patternType="solid">
          <fgColor theme="8" tint="0.79989013336588644"/>
          <bgColor theme="9" tint="0.79998168889431442"/>
        </patternFill>
      </fill>
    </dxf>
    <dxf>
      <font>
        <b/>
        <color theme="1"/>
      </font>
    </dxf>
    <dxf>
      <font>
        <b/>
        <color theme="1"/>
      </font>
      <fill>
        <patternFill patternType="solid">
          <fgColor theme="8" tint="0.79995117038483843"/>
          <bgColor theme="9" tint="0.79998168889431442"/>
        </patternFill>
      </fill>
    </dxf>
    <dxf>
      <font>
        <b/>
        <color theme="1"/>
      </font>
    </dxf>
    <dxf>
      <font>
        <b/>
        <color theme="1"/>
      </font>
      <fill>
        <patternFill patternType="none">
          <fgColor indexed="64"/>
          <bgColor auto="1"/>
        </patternFill>
      </fill>
    </dxf>
    <dxf>
      <font>
        <b/>
        <color theme="1"/>
      </font>
      <border>
        <left style="medium">
          <color theme="8" tint="0.59999389629810485"/>
        </left>
        <right style="medium">
          <color theme="8" tint="0.59999389629810485"/>
        </right>
        <top style="medium">
          <color theme="8" tint="0.59999389629810485"/>
        </top>
        <bottom style="medium">
          <color theme="8" tint="0.59999389629810485"/>
        </bottom>
      </border>
    </dxf>
    <dxf>
      <fill>
        <patternFill patternType="none">
          <bgColor auto="1"/>
        </patternFill>
      </fill>
      <border>
        <left style="thin">
          <color theme="8" tint="0.39997558519241921"/>
        </left>
        <right style="thin">
          <color theme="8" tint="0.39997558519241921"/>
        </right>
      </border>
    </dxf>
    <dxf>
      <fill>
        <patternFill patternType="none">
          <bgColor auto="1"/>
        </patternFill>
      </fill>
      <border>
        <top style="thin">
          <color theme="8" tint="0.39997558519241921"/>
        </top>
        <bottom style="thin">
          <color theme="8" tint="0.39997558519241921"/>
        </bottom>
        <horizontal style="thin">
          <color theme="8" tint="0.39997558519241921"/>
        </horizontal>
      </border>
    </dxf>
    <dxf>
      <font>
        <b/>
        <color theme="1"/>
      </font>
      <fill>
        <patternFill>
          <bgColor theme="7" tint="0.59996337778862885"/>
        </patternFill>
      </fill>
      <border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n">
          <color theme="1"/>
        </vertical>
      </border>
    </dxf>
    <dxf>
      <font>
        <b/>
        <color theme="0"/>
      </font>
      <fill>
        <patternFill patternType="solid">
          <fgColor theme="8"/>
          <bgColor theme="8"/>
        </patternFill>
      </fill>
      <border>
        <left style="thick">
          <color theme="1"/>
        </left>
        <right style="thick">
          <color theme="1"/>
        </right>
        <top style="thick">
          <color theme="1"/>
        </top>
        <bottom style="thick">
          <color theme="1"/>
        </bottom>
        <vertical style="thin">
          <color theme="1"/>
        </vertical>
      </border>
    </dxf>
    <dxf>
      <font>
        <color theme="1"/>
      </font>
      <border>
        <top style="thin">
          <color auto="1"/>
        </top>
        <bottom style="thin">
          <color auto="1"/>
        </bottom>
        <horizontal style="thin">
          <color auto="1"/>
        </horizontal>
      </border>
    </dxf>
  </dxfs>
  <tableStyles count="1" defaultTableStyle="TableStyleMedium9" defaultPivotStyle="PivotStyleLight16">
    <tableStyle name="RECETTE" table="0" count="12" xr9:uid="{EB60566F-FA6F-4DF0-A809-2D3513B83807}">
      <tableStyleElement type="wholeTable" dxfId="147"/>
      <tableStyleElement type="headerRow" dxfId="146"/>
      <tableStyleElement type="totalRow" dxfId="145"/>
      <tableStyleElement type="firstRowStripe" dxfId="144"/>
      <tableStyleElement type="firstColumnStripe" dxfId="143"/>
      <tableStyleElement type="firstSubtotalColumn" dxfId="142"/>
      <tableStyleElement type="firstSubtotalRow" dxfId="141"/>
      <tableStyleElement type="secondSubtotalRow" dxfId="140"/>
      <tableStyleElement type="firstRowSubheading" dxfId="139"/>
      <tableStyleElement type="secondRowSubheading" dxfId="138"/>
      <tableStyleElement type="pageFieldLabels" dxfId="137"/>
      <tableStyleElement type="pageFieldValues" dxfId="136"/>
    </tableStyle>
  </tableStyles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55" Type="http://schemas.microsoft.com/office/2017/10/relationships/person" Target="persons/person3.xml"/><Relationship Id="rId7" Type="http://schemas.openxmlformats.org/officeDocument/2006/relationships/styles" Target="styles.xml"/><Relationship Id="rId59" Type="http://schemas.microsoft.com/office/2017/10/relationships/person" Target="persons/person6.xml"/><Relationship Id="rId2" Type="http://schemas.openxmlformats.org/officeDocument/2006/relationships/worksheet" Target="worksheets/sheet2.xml"/><Relationship Id="rId54" Type="http://schemas.microsoft.com/office/2017/10/relationships/person" Target="persons/person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3" Type="http://schemas.microsoft.com/office/2017/10/relationships/person" Target="persons/person0.xml"/><Relationship Id="rId58" Type="http://schemas.microsoft.com/office/2017/10/relationships/person" Target="persons/person4.xml"/><Relationship Id="rId5" Type="http://schemas.openxmlformats.org/officeDocument/2006/relationships/theme" Target="theme/theme1.xml"/><Relationship Id="rId57" Type="http://schemas.microsoft.com/office/2017/10/relationships/person" Target="persons/person5.xml"/><Relationship Id="rId10" Type="http://schemas.openxmlformats.org/officeDocument/2006/relationships/customXml" Target="../customXml/item1.xml"/><Relationship Id="rId52" Type="http://schemas.microsoft.com/office/2017/10/relationships/person" Target="persons/pers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56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6E7A2A29-49EA-4E55-AE8B-AA9D93AA3D30}" autoFormatId="16" applyNumberFormats="0" applyBorderFormats="0" applyFontFormats="0" applyPatternFormats="0" applyAlignmentFormats="0" applyWidthHeightFormats="0">
  <queryTableRefresh nextId="16">
    <queryTableFields count="15">
      <queryTableField id="1" name="Date départ" tableColumnId="1"/>
      <queryTableField id="2" name="Chamb HT" tableColumnId="2"/>
      <queryTableField id="3" name="PDJ HT" tableColumnId="3"/>
      <queryTableField id="4" name="Boiss. HT" tableColumnId="4"/>
      <queryTableField id="5" name="Alc. HT" tableColumnId="5"/>
      <queryTableField id="6" name="Resto HT" tableColumnId="6"/>
      <queryTableField id="7" name="PKG HT" tableColumnId="7"/>
      <queryTableField id="8" name="Presg. HT" tableColumnId="8"/>
      <queryTableField id="9" name="Div. HT" tableColumnId="9"/>
      <queryTableField id="10" name="Total HT" tableColumnId="10"/>
      <queryTableField id="11" name="TVA 10%" tableColumnId="11"/>
      <queryTableField id="12" name="TVA 20%" tableColumnId="12"/>
      <queryTableField id="13" name="Taxe séjour" tableColumnId="13"/>
      <queryTableField id="14" name="Total TTC" tableColumnId="14"/>
      <queryTableField id="15" name="Total facturé" tableColumnId="1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C30B42CB-CE08-459F-B899-A160D3D426D2}" autoFormatId="16" applyNumberFormats="0" applyBorderFormats="0" applyFontFormats="0" applyPatternFormats="0" applyAlignmentFormats="0" applyWidthHeightFormats="0">
  <queryTableRefresh nextId="17">
    <queryTableFields count="14">
      <queryTableField id="1" name="DATE PAIE" tableColumnId="1"/>
      <queryTableField id="2" name="DATE_x000a_PAIEMT" tableColumnId="2"/>
      <queryTableField id="3" name="CB_x000a_EMV" tableColumnId="3"/>
      <queryTableField id="4" name="AMEX" tableColumnId="4"/>
      <queryTableField id="5" name="CB_x000a_VAD" tableColumnId="5"/>
      <queryTableField id="6" name="PLBS" tableColumnId="6"/>
      <queryTableField id="7" name="CB_x000a_SS CTC" tableColumnId="7"/>
      <queryTableField id="8" name="CHQ VAC." tableColumnId="8"/>
      <queryTableField id="9" name="ESPECES" tableColumnId="9"/>
      <queryTableField id="10" name="CHQ BANCAIRE" tableColumnId="10"/>
      <queryTableField id="11" name="VIRMT" tableColumnId="11"/>
      <queryTableField id="12" name="TOTAL TTC ENCAISSE" tableColumnId="12"/>
      <queryTableField id="13" name="DIFFERE_x000a_RECU" tableColumnId="13"/>
      <queryTableField id="14" name="DIFFERE_x000a_ATTENTE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C85AC5-DA2B-49E4-BFB2-3EE4A27F3011}" name="DONNEES" displayName="DONNEES" ref="A3:AN133" totalsRowCount="1" headerRowDxfId="135" dataDxfId="133" headerRowBorderDxfId="134" tableBorderDxfId="132" totalsRowBorderDxfId="131">
  <autoFilter ref="A3:AN132" xr:uid="{34CA0107-0916-4B2C-8F17-B1DBF2389A8E}"/>
  <sortState xmlns:xlrd2="http://schemas.microsoft.com/office/spreadsheetml/2017/richdata2" ref="A4:AN81">
    <sortCondition ref="E3:E81"/>
  </sortState>
  <tableColumns count="40">
    <tableColumn id="44" xr3:uid="{73C25B4A-CE5E-49D9-9911-C4505A9F078E}" name="JOUR" dataDxfId="130" totalsRowDxfId="129">
      <calculatedColumnFormula>DONNEES[[#This Row],[AM]]</calculatedColumnFormula>
    </tableColumn>
    <tableColumn id="45" xr3:uid="{971FBA70-CB6B-4561-8472-B03FB1D1E9E5}" name="NUM JOUR" dataDxfId="128" totalsRowDxfId="127">
      <calculatedColumnFormula>WEEKDAY(DONNEES[[#This Row],[JOUR]],2)</calculatedColumnFormula>
    </tableColumn>
    <tableColumn id="3" xr3:uid="{BAE64386-237A-436B-A57D-D7FD2A78A9FE}" name="NUM SEM AM" dataDxfId="126" totalsRowDxfId="125">
      <calculatedColumnFormula>_xlfn.ISOWEEKNUM(DONNEES[[#This Row],[AM]]-1)</calculatedColumnFormula>
    </tableColumn>
    <tableColumn id="1" xr3:uid="{4FF51DE2-54CA-4101-8500-E1FF489B7D14}" name="AM" dataDxfId="124" totalsRowDxfId="123"/>
    <tableColumn id="2" xr3:uid="{EFB5E2E5-DCD9-4C6E-86DE-A748CF828300}" name="DEPART" dataDxfId="122" totalsRowDxfId="121">
      <calculatedColumnFormula>DONNEES[[#This Row],[AM]]+1</calculatedColumnFormula>
    </tableColumn>
    <tableColumn id="4" xr3:uid="{5A74949D-6128-4923-A3BA-8608FF9BA48C}" name="DEP_x000a_REC" dataDxfId="120" totalsRowDxfId="119"/>
    <tableColumn id="5" xr3:uid="{673B25D5-63DE-4031-94F7-5A9A208427C6}" name="#" dataDxfId="118" totalsRowDxfId="117"/>
    <tableColumn id="6" xr3:uid="{CA7814F1-194D-4D49-BB8D-5374AC3AAE29}" name="PERS" totalsRowFunction="sum" dataDxfId="116" totalsRowDxfId="115"/>
    <tableColumn id="7" xr3:uid="{2BE6E098-9867-4F51-AA46-2CB4FA140C12}" name="NOM" dataDxfId="114" totalsRowDxfId="113"/>
    <tableColumn id="8" xr3:uid="{B0EB4B34-8AC9-483F-B213-8BE31A5C2DB4}" name="RESA" totalsRowFunction="count" dataDxfId="112" totalsRowDxfId="111"/>
    <tableColumn id="9" xr3:uid="{3D4A1AA0-7849-42B8-947A-C1AA2B34A119}" name="CH" totalsRowFunction="average" dataDxfId="110" totalsRowDxfId="109"/>
    <tableColumn id="11" xr3:uid="{CFFAAD5E-2535-4F09-BCD8-0EFD6908B893}" name="NB PDJ" totalsRowFunction="count" dataDxfId="108" totalsRowDxfId="107"/>
    <tableColumn id="10" xr3:uid="{57512350-4B0B-49AE-9CE3-FD941D873182}" name="PARK" totalsRowFunction="count" dataDxfId="106" totalsRowDxfId="105"/>
    <tableColumn id="12" xr3:uid="{FAA6A261-74E1-4DEC-A51F-1970F60B4848}" name="EXTRA" totalsRowFunction="sum" dataDxfId="104" totalsRowDxfId="103"/>
    <tableColumn id="13" xr3:uid="{9E54EF5A-B564-46A2-B7EC-48FBEC0646A5}" name="CHAMB." totalsRowFunction="sum" dataDxfId="102" totalsRowDxfId="101"/>
    <tableColumn id="14" xr3:uid="{CD7BB20E-98A2-4FCD-B872-52A1E826DE75}" name="PDJ" totalsRowFunction="sum" dataDxfId="100" totalsRowDxfId="99"/>
    <tableColumn id="15" xr3:uid="{F71F3AAE-8FDD-45F6-8541-905EFB2C9EE1}" name="BOISS" totalsRowFunction="sum" dataDxfId="98" totalsRowDxfId="97"/>
    <tableColumn id="16" xr3:uid="{4FC1A561-0DA7-4C47-A443-1A74E28CC76A}" name="ALC" totalsRowFunction="sum" dataDxfId="96" totalsRowDxfId="95"/>
    <tableColumn id="17" xr3:uid="{7A1ED9E4-8274-4C7A-9DCA-C89007F19856}" name="RESTO" totalsRowFunction="sum" dataDxfId="94" totalsRowDxfId="93"/>
    <tableColumn id="18" xr3:uid="{F49D4C0E-5EBA-45F8-8EA5-5620ABB945D9}" name="PKG" totalsRowFunction="sum" dataDxfId="92" totalsRowDxfId="91"/>
    <tableColumn id="19" xr3:uid="{B076E8E5-9DC2-4A05-9FE9-DCCA0CB71B25}" name="PRESG" totalsRowFunction="sum" dataDxfId="90" totalsRowDxfId="89"/>
    <tableColumn id="20" xr3:uid="{3A8288DE-9C8C-4BC0-9EE8-DD1CBCC16E36}" name="DIV" totalsRowFunction="sum" dataDxfId="88" totalsRowDxfId="87"/>
    <tableColumn id="21" xr3:uid="{A254ACAF-7304-45EA-847B-83D5D0F713F1}" name="TS" totalsRowFunction="sum" dataDxfId="86" totalsRowDxfId="85"/>
    <tableColumn id="22" xr3:uid="{5865191B-6540-465F-8004-56AE573A8C5B}" name="ACPTE RECU" dataDxfId="84" totalsRowDxfId="83"/>
    <tableColumn id="23" xr3:uid="{D8CD2B58-38EB-4661-AB36-1DF2D56859F3}" name="ACPTE RENDU" dataDxfId="82" totalsRowDxfId="81"/>
    <tableColumn id="24" xr3:uid="{8ADC96C0-979A-45A1-A52D-4C7A4F219ADF}" name="TOTAL TTC FACTURE" totalsRowFunction="sum" dataDxfId="80" totalsRowDxfId="79">
      <calculatedColumnFormula>IF(SUM(O4:W4)=0,IF(DONNEES[[#This Row],[ACPTE RECU]]-DONNEES[[#This Row],[ACPTE RENDU]]=0,"",DONNEES[[#This Row],[ACPTE RECU]]-DONNEES[[#This Row],[ACPTE RENDU]]),SUM(O4:W4)+DONNEES[[#This Row],[ACPTE RECU]]-DONNEES[[#This Row],[ACPTE RENDU]])</calculatedColumnFormula>
    </tableColumn>
    <tableColumn id="36" xr3:uid="{69E06839-C9D5-4BA5-89A9-AA791D71B843}" name="DATE_x000a_PAIEMT" dataDxfId="78" totalsRowDxfId="77">
      <calculatedColumnFormula>IF(DONNEES[[#This Row],[DEP
REC]]="D",DONNEES[[#This Row],[DEPART]],"")</calculatedColumnFormula>
    </tableColumn>
    <tableColumn id="27" xr3:uid="{2B7BBDBB-4A26-4DDE-87B6-AE4283CD5BF7}" name="CB_x000a_EMV" totalsRowFunction="sum" dataDxfId="76" totalsRowDxfId="75"/>
    <tableColumn id="30" xr3:uid="{844DBAD7-9450-4664-BD6E-FA1A8E0C35A5}" name="AMEX" totalsRowFunction="sum" dataDxfId="74" totalsRowDxfId="73"/>
    <tableColumn id="28" xr3:uid="{B6C08F31-9F90-4C47-BC8F-92B6AC14A919}" name="CB_x000a_VAD" totalsRowFunction="sum" dataDxfId="72" totalsRowDxfId="71"/>
    <tableColumn id="37" xr3:uid="{C8A225CE-8C79-4576-AB09-E7C491C3F95D}" name="PLBS" totalsRowFunction="sum" dataDxfId="70" totalsRowDxfId="69"/>
    <tableColumn id="29" xr3:uid="{49A7E908-BE34-4F56-826F-11860E6A7484}" name="CB_x000a_SS CTC" totalsRowFunction="sum" dataDxfId="68" totalsRowDxfId="67"/>
    <tableColumn id="26" xr3:uid="{62D59A3A-C453-44D7-8963-E2C318F37D45}" name="CHQ VAC." totalsRowFunction="sum" dataDxfId="66" totalsRowDxfId="65"/>
    <tableColumn id="31" xr3:uid="{95ADE35E-7EC8-4226-9D18-0086F9940A90}" name="ESPECES" totalsRowFunction="sum" dataDxfId="64" totalsRowDxfId="63"/>
    <tableColumn id="25" xr3:uid="{81E43934-E1A0-46B6-B19F-8F95AE87D6C8}" name="CHQ BANCAIRE" totalsRowFunction="sum" dataDxfId="62" totalsRowDxfId="61"/>
    <tableColumn id="32" xr3:uid="{26EFFA16-0DC0-447F-BACF-6541F97469DC}" name="VIRMT" totalsRowFunction="sum" dataDxfId="60" totalsRowDxfId="59"/>
    <tableColumn id="33" xr3:uid="{8C5C41C9-5D86-43C3-B599-A7DD9E55543D}" name="TOTAL TTC ENCAISSE" totalsRowFunction="sum" dataDxfId="58" totalsRowDxfId="57">
      <calculatedColumnFormula>IF(SUM(AB4:AJ4)=0,"",SUM(AB4:AJ4))</calculatedColumnFormula>
    </tableColumn>
    <tableColumn id="34" xr3:uid="{B66063A9-DE67-4920-B1F0-EC0AB327FD43}" name="DIFFERE_x000a_RECU" totalsRowFunction="sum" dataDxfId="56" totalsRowDxfId="55"/>
    <tableColumn id="35" xr3:uid="{82027046-A195-40C2-B080-F4DB7D1CBB84}" name="DIFFERE_x000a_ATTENTE" totalsRowFunction="sum" dataDxfId="54" totalsRowDxfId="53">
      <calculatedColumnFormula>IF(DONNEES[[#This Row],[TOTAL TTC FACTURE]]=DONNEES[[#This Row],[TOTAL TTC ENCAISSE]],"",IF(DONNEES[[#This Row],[TOTAL TTC FACTURE]]="",0,DONNEES[[#This Row],[TOTAL TTC FACTURE]])-IF(DONNEES[[#This Row],[TOTAL TTC ENCAISSE]]="",0,DONNEES[[#This Row],[TOTAL TTC ENCAISSE]]))</calculatedColumnFormula>
    </tableColumn>
    <tableColumn id="39" xr3:uid="{9698E0E7-7B35-464F-A772-4B675B9453EC}" name="DATE PAIE" dataDxfId="52" totalsRowDxfId="51">
      <calculatedColumnFormula>IF(DONNEES[[#This Row],[DATE
PAIEMT]]="",0,DONNEES[[#This Row],[DATE
PAIEMT]])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AEE7D2A-BD6A-450B-B414-35C270BEBF1C}" name="Recettes" displayName="Recettes" ref="B9:P61" tableType="queryTable" totalsRowCount="1" headerRowDxfId="34">
  <autoFilter ref="B9:P60" xr:uid="{EAEE7D2A-BD6A-450B-B414-35C270BEBF1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DE92FC8A-53EB-4569-AAA0-ADC341A3CE2F}" uniqueName="1" name="Date départ" totalsRowLabel="Total" queryTableFieldId="1" dataDxfId="49"/>
    <tableColumn id="2" xr3:uid="{67718B0F-AA23-4A95-8AA6-0D4BAF723106}" uniqueName="2" name="Chamb HT" totalsRowFunction="sum" queryTableFieldId="2" dataDxfId="48" totalsRowDxfId="19"/>
    <tableColumn id="3" xr3:uid="{45934239-CC8F-41BC-B513-8E6BB305791E}" uniqueName="3" name="PDJ HT" totalsRowFunction="sum" queryTableFieldId="3" dataDxfId="47" totalsRowDxfId="18"/>
    <tableColumn id="4" xr3:uid="{986E94C8-7C83-41B9-AB85-38BA1B3390F2}" uniqueName="4" name="Boiss. HT" totalsRowFunction="sum" queryTableFieldId="4" dataDxfId="46" totalsRowDxfId="17"/>
    <tableColumn id="5" xr3:uid="{2A930C9C-A685-4A4B-B0A4-6361483FBCCD}" uniqueName="5" name="Alc. HT" totalsRowFunction="sum" queryTableFieldId="5" dataDxfId="45" totalsRowDxfId="16"/>
    <tableColumn id="6" xr3:uid="{67FC0B77-CA47-4B10-B122-572C54803A2E}" uniqueName="6" name="Resto HT" totalsRowFunction="sum" queryTableFieldId="6" dataDxfId="44" totalsRowDxfId="15"/>
    <tableColumn id="7" xr3:uid="{B799A2CB-CFB0-4D97-9C21-76C1085B6AFB}" uniqueName="7" name="PKG HT" totalsRowFunction="sum" queryTableFieldId="7" dataDxfId="43" totalsRowDxfId="14"/>
    <tableColumn id="8" xr3:uid="{7379F3D7-B437-498A-963A-67558BDFE55A}" uniqueName="8" name="Presg. HT" totalsRowFunction="sum" queryTableFieldId="8" dataDxfId="42" totalsRowDxfId="13"/>
    <tableColumn id="9" xr3:uid="{DA181DC2-6930-4A07-9E76-85D4EF19C32B}" uniqueName="9" name="Div. HT" totalsRowFunction="sum" queryTableFieldId="9" dataDxfId="41" totalsRowDxfId="12"/>
    <tableColumn id="10" xr3:uid="{73A3FD11-F769-4DB8-B937-67694E2BC8B6}" uniqueName="10" name="Total HT" totalsRowFunction="sum" queryTableFieldId="10" dataDxfId="40" totalsRowDxfId="11"/>
    <tableColumn id="11" xr3:uid="{7EFEC9FD-993B-4BB1-8EE7-7BA684B779EE}" uniqueName="11" name="TVA 10%" totalsRowFunction="sum" queryTableFieldId="11" dataDxfId="39" totalsRowDxfId="10"/>
    <tableColumn id="12" xr3:uid="{C09A9939-A321-42EE-B612-971D922FB911}" uniqueName="12" name="TVA 20%" totalsRowFunction="sum" queryTableFieldId="12" dataDxfId="38" totalsRowDxfId="9"/>
    <tableColumn id="13" xr3:uid="{A774CE81-34FD-42E4-9BD0-8FEB843D8DD8}" uniqueName="13" name="Taxe séjour" totalsRowFunction="sum" queryTableFieldId="13" dataDxfId="37" totalsRowDxfId="8"/>
    <tableColumn id="14" xr3:uid="{0D9AC3B9-0D80-4C67-93C1-9403F87C9EE7}" uniqueName="14" name="Total TTC" totalsRowFunction="sum" queryTableFieldId="14" dataDxfId="36" totalsRowDxfId="7"/>
    <tableColumn id="15" xr3:uid="{FFE1C1C8-CC08-417D-B5D2-E66371B02BCB}" uniqueName="15" name="Total facturé" totalsRowFunction="sum" queryTableFieldId="15" dataDxfId="35" totalsRow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9C989C-F73C-43EA-A819-A6BF290B5728}" name="Encaissement" displayName="Encaissement" ref="B9:O46" tableType="queryTable" totalsRowCount="1">
  <autoFilter ref="B9:O45" xr:uid="{AD9C989C-F73C-43EA-A819-A6BF290B572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5CD9F3F1-80DF-4123-8957-865D0811D8B5}" uniqueName="1" name="DATE PAIE" totalsRowLabel="Total" queryTableFieldId="1" dataDxfId="33"/>
    <tableColumn id="2" xr3:uid="{613FDE10-6BD9-46FD-86F3-AA70D4792ED2}" uniqueName="2" name="DATE_x000a_PAIEMT" queryTableFieldId="2" dataDxfId="32"/>
    <tableColumn id="3" xr3:uid="{283ABA87-0DC1-47BC-ADC0-1E80CE7F907D}" uniqueName="3" name="CB_x000a_EMV" totalsRowFunction="sum" queryTableFieldId="3" dataDxfId="31"/>
    <tableColumn id="4" xr3:uid="{7C264AE0-907B-47F4-A746-F2ED7EA37B22}" uniqueName="4" name="AMEX" totalsRowFunction="sum" queryTableFieldId="4" dataDxfId="30"/>
    <tableColumn id="5" xr3:uid="{79FBA6F4-5662-4334-AB14-E13495036069}" uniqueName="5" name="CB_x000a_VAD" totalsRowFunction="sum" queryTableFieldId="5" dataDxfId="29"/>
    <tableColumn id="6" xr3:uid="{1D7D9E67-2EE8-4C75-914D-9F6343DDDB13}" uniqueName="6" name="PLBS" totalsRowFunction="sum" queryTableFieldId="6" dataDxfId="28"/>
    <tableColumn id="7" xr3:uid="{0151D951-4D41-4603-9951-39DF9D8EE7A0}" uniqueName="7" name="CB_x000a_SS CTC" totalsRowFunction="sum" queryTableFieldId="7" dataDxfId="27"/>
    <tableColumn id="8" xr3:uid="{369C66C1-E422-4A50-A394-1F906F8F73DD}" uniqueName="8" name="CHQ VAC." totalsRowFunction="sum" queryTableFieldId="8" dataDxfId="26"/>
    <tableColumn id="9" xr3:uid="{09885273-E1E0-4A65-A3F3-8CA90AEC318D}" uniqueName="9" name="ESPECES" totalsRowFunction="sum" queryTableFieldId="9" dataDxfId="25"/>
    <tableColumn id="10" xr3:uid="{AC3AF77D-6F2A-468B-9D5C-9DCF43065DC0}" uniqueName="10" name="CHQ BANCAIRE" totalsRowFunction="sum" queryTableFieldId="10" dataDxfId="24"/>
    <tableColumn id="11" xr3:uid="{0F96275F-A1C3-4D61-989A-68DD37A90432}" uniqueName="11" name="VIRMT" totalsRowFunction="sum" queryTableFieldId="11" dataDxfId="23"/>
    <tableColumn id="12" xr3:uid="{32B02541-A559-4522-B9AA-8FA77DB03149}" uniqueName="12" name="TOTAL TTC ENCAISSE" totalsRowFunction="sum" queryTableFieldId="12" dataDxfId="22"/>
    <tableColumn id="13" xr3:uid="{98093663-1F27-406F-8384-16CE33AA9EE6}" uniqueName="13" name="DIFFERE_x000a_RECU" totalsRowFunction="sum" queryTableFieldId="13" dataDxfId="21"/>
    <tableColumn id="14" xr3:uid="{7989D0E9-705F-4146-B66A-027559D33F47}" uniqueName="14" name="DIFFERE_x000a_ATTENTE" totalsRowFunction="sum" queryTableFieldId="14" dataDxfId="20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C50B29-F880-48CE-B75A-4099755C2E11}" name="t_Annee" displayName="t_Annee" ref="B2:B4" totalsRowShown="0" headerRowDxfId="3" dataDxfId="4">
  <autoFilter ref="B2:B4" xr:uid="{8FC50B29-F880-48CE-B75A-4099755C2E11}">
    <filterColumn colId="0" hiddenButton="1"/>
  </autoFilter>
  <tableColumns count="1">
    <tableColumn id="1" xr3:uid="{A7427C2B-8DBE-4AA6-ADCD-A22DB6C44806}" name="Année" dataDxfId="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767A7E-1572-4727-901D-1D9578A85270}" name="t_Mois" displayName="t_Mois" ref="D2:D14" totalsRowShown="0" headerRowDxfId="1" dataDxfId="0">
  <autoFilter ref="D2:D14" xr:uid="{89767A7E-1572-4727-901D-1D9578A85270}">
    <filterColumn colId="0" hiddenButton="1"/>
  </autoFilter>
  <tableColumns count="1">
    <tableColumn id="1" xr3:uid="{097E2CC9-226E-4F66-B25B-CD745F2ACCED}" name="Moi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22403-99EF-4DA6-80B7-BF0B29773923}">
  <sheetPr codeName="Feuil35">
    <pageSetUpPr fitToPage="1"/>
  </sheetPr>
  <dimension ref="A1:AO161"/>
  <sheetViews>
    <sheetView zoomScale="85" zoomScaleNormal="85" workbookViewId="0">
      <pane xSplit="9" ySplit="3" topLeftCell="U4" activePane="bottomRight" state="frozen"/>
      <selection pane="topRight" activeCell="J1" sqref="J1"/>
      <selection pane="bottomLeft" activeCell="A4" sqref="A4"/>
      <selection pane="bottomRight" activeCell="W4" sqref="W4"/>
    </sheetView>
  </sheetViews>
  <sheetFormatPr baseColWidth="10" defaultColWidth="11.5546875" defaultRowHeight="13.8" outlineLevelCol="1" x14ac:dyDescent="0.25"/>
  <cols>
    <col min="1" max="1" width="5" style="4" customWidth="1" outlineLevel="1"/>
    <col min="2" max="3" width="5.109375" style="4" customWidth="1" outlineLevel="1"/>
    <col min="4" max="5" width="7.77734375" style="4" customWidth="1"/>
    <col min="6" max="8" width="5" style="4" customWidth="1" outlineLevel="1"/>
    <col min="9" max="9" width="21.21875" style="4" bestFit="1" customWidth="1"/>
    <col min="10" max="10" width="6.6640625" style="4" customWidth="1"/>
    <col min="11" max="11" width="8.109375" style="4" customWidth="1"/>
    <col min="12" max="12" width="4.44140625" customWidth="1"/>
    <col min="13" max="13" width="4.44140625" style="4" customWidth="1" collapsed="1"/>
    <col min="14" max="14" width="6.33203125" style="3" customWidth="1"/>
    <col min="15" max="24" width="9.21875" style="3" customWidth="1"/>
    <col min="25" max="25" width="9.21875" style="4" customWidth="1"/>
    <col min="26" max="27" width="9.21875" customWidth="1"/>
    <col min="28" max="29" width="9.21875" style="3" customWidth="1"/>
    <col min="30" max="30" width="9.21875" customWidth="1"/>
    <col min="31" max="35" width="9.21875" style="3" customWidth="1"/>
    <col min="36" max="36" width="9.21875" customWidth="1"/>
    <col min="37" max="37" width="9.21875" style="3" customWidth="1"/>
    <col min="38" max="38" width="9.21875" style="4" customWidth="1"/>
    <col min="39" max="39" width="9.21875" style="3" customWidth="1"/>
    <col min="40" max="40" width="10.5546875" style="3" customWidth="1" outlineLevel="1"/>
    <col min="41" max="42" width="7.88671875" style="3" customWidth="1"/>
    <col min="43" max="16384" width="11.5546875" style="3"/>
  </cols>
  <sheetData>
    <row r="1" spans="1:41" ht="14.4" thickBot="1" x14ac:dyDescent="0.3">
      <c r="Z1" s="4">
        <v>3501</v>
      </c>
      <c r="AA1" s="4"/>
      <c r="AB1" s="4"/>
      <c r="AC1" s="4">
        <v>3401</v>
      </c>
      <c r="AD1" s="78" t="s">
        <v>89</v>
      </c>
      <c r="AE1" s="4"/>
      <c r="AF1" s="4"/>
      <c r="AG1" s="4"/>
      <c r="AH1" s="4"/>
      <c r="AI1" s="4"/>
    </row>
    <row r="2" spans="1:41" ht="22.2" thickTop="1" thickBot="1" x14ac:dyDescent="0.3">
      <c r="A2" s="89" t="s">
        <v>88</v>
      </c>
      <c r="B2" s="90"/>
      <c r="C2" s="90"/>
      <c r="D2" s="90"/>
      <c r="E2" s="91"/>
      <c r="L2" s="4"/>
      <c r="N2" s="4"/>
      <c r="O2" s="71" t="s">
        <v>14</v>
      </c>
      <c r="P2" s="72"/>
      <c r="Q2" s="72"/>
      <c r="R2" s="72"/>
      <c r="S2" s="72"/>
      <c r="T2" s="72"/>
      <c r="U2" s="72"/>
      <c r="V2" s="72"/>
      <c r="W2" s="72"/>
      <c r="X2" s="72"/>
      <c r="Y2" s="72"/>
      <c r="Z2" s="73"/>
      <c r="AA2" s="71" t="s">
        <v>79</v>
      </c>
      <c r="AB2" s="72"/>
      <c r="AC2" s="72"/>
      <c r="AD2" s="72"/>
      <c r="AE2" s="72"/>
      <c r="AF2" s="72"/>
      <c r="AG2" s="72"/>
      <c r="AH2" s="72"/>
      <c r="AI2" s="72"/>
      <c r="AJ2" s="72"/>
      <c r="AK2" s="73"/>
      <c r="AL2" s="3"/>
    </row>
    <row r="3" spans="1:41" s="30" customFormat="1" ht="52.95" customHeight="1" thickTop="1" thickBot="1" x14ac:dyDescent="0.3">
      <c r="A3" s="96" t="s">
        <v>98</v>
      </c>
      <c r="B3" s="94" t="s">
        <v>99</v>
      </c>
      <c r="C3" s="98" t="s">
        <v>100</v>
      </c>
      <c r="D3" s="87" t="s">
        <v>40</v>
      </c>
      <c r="E3" s="88" t="s">
        <v>133</v>
      </c>
      <c r="F3" s="84" t="s">
        <v>101</v>
      </c>
      <c r="G3" s="101" t="s">
        <v>32</v>
      </c>
      <c r="H3" s="48" t="s">
        <v>33</v>
      </c>
      <c r="I3" s="100" t="s">
        <v>16</v>
      </c>
      <c r="J3" s="84" t="s">
        <v>36</v>
      </c>
      <c r="K3" s="106" t="s">
        <v>23</v>
      </c>
      <c r="L3" s="106" t="s">
        <v>42</v>
      </c>
      <c r="M3" s="106" t="s">
        <v>34</v>
      </c>
      <c r="N3" s="48" t="s">
        <v>35</v>
      </c>
      <c r="O3" s="43" t="s">
        <v>10</v>
      </c>
      <c r="P3" s="44" t="s">
        <v>27</v>
      </c>
      <c r="Q3" s="44" t="s">
        <v>26</v>
      </c>
      <c r="R3" s="44" t="s">
        <v>24</v>
      </c>
      <c r="S3" s="44" t="s">
        <v>28</v>
      </c>
      <c r="T3" s="44" t="s">
        <v>5</v>
      </c>
      <c r="U3" s="44" t="s">
        <v>29</v>
      </c>
      <c r="V3" s="44" t="s">
        <v>25</v>
      </c>
      <c r="W3" s="45" t="s">
        <v>30</v>
      </c>
      <c r="X3" s="46" t="s">
        <v>8</v>
      </c>
      <c r="Y3" s="45" t="s">
        <v>9</v>
      </c>
      <c r="Z3" s="47" t="s">
        <v>12</v>
      </c>
      <c r="AA3" s="49" t="s">
        <v>43</v>
      </c>
      <c r="AB3" s="46" t="s">
        <v>17</v>
      </c>
      <c r="AC3" s="44" t="s">
        <v>1</v>
      </c>
      <c r="AD3" s="44" t="s">
        <v>18</v>
      </c>
      <c r="AE3" s="44" t="s">
        <v>44</v>
      </c>
      <c r="AF3" s="44" t="s">
        <v>31</v>
      </c>
      <c r="AG3" s="44" t="s">
        <v>11</v>
      </c>
      <c r="AH3" s="44" t="s">
        <v>22</v>
      </c>
      <c r="AI3" s="44" t="s">
        <v>7</v>
      </c>
      <c r="AJ3" s="45" t="s">
        <v>15</v>
      </c>
      <c r="AK3" s="50" t="s">
        <v>13</v>
      </c>
      <c r="AL3" s="51" t="s">
        <v>19</v>
      </c>
      <c r="AM3" s="52" t="s">
        <v>20</v>
      </c>
      <c r="AN3" s="83" t="s">
        <v>92</v>
      </c>
      <c r="AO3" s="3"/>
    </row>
    <row r="4" spans="1:41" ht="14.4" thickTop="1" x14ac:dyDescent="0.25">
      <c r="A4" s="97">
        <f>DONNEES[[#This Row],[AM]]</f>
        <v>44557</v>
      </c>
      <c r="B4" s="95">
        <f>WEEKDAY(DONNEES[[#This Row],[JOUR]],2)</f>
        <v>1</v>
      </c>
      <c r="C4" s="99">
        <f>_xlfn.ISOWEEKNUM(DONNEES[[#This Row],[AM]]-1)</f>
        <v>51</v>
      </c>
      <c r="D4" s="92">
        <v>44557</v>
      </c>
      <c r="E4" s="93">
        <f>DONNEES[[#This Row],[AM]]+1</f>
        <v>44558</v>
      </c>
      <c r="F4" s="14" t="s">
        <v>37</v>
      </c>
      <c r="G4" s="85">
        <v>24</v>
      </c>
      <c r="H4" s="13">
        <v>2</v>
      </c>
      <c r="I4" s="103" t="s">
        <v>65</v>
      </c>
      <c r="J4" s="14" t="s">
        <v>21</v>
      </c>
      <c r="K4" s="15">
        <v>130</v>
      </c>
      <c r="L4" s="16">
        <v>2</v>
      </c>
      <c r="M4" s="16">
        <v>1</v>
      </c>
      <c r="N4" s="17"/>
      <c r="O4" s="11">
        <v>130.9</v>
      </c>
      <c r="P4" s="8">
        <v>24</v>
      </c>
      <c r="Q4" s="8"/>
      <c r="R4" s="8"/>
      <c r="S4" s="8"/>
      <c r="T4" s="8"/>
      <c r="U4" s="8"/>
      <c r="V4" s="8"/>
      <c r="W4" s="9">
        <v>0.9</v>
      </c>
      <c r="X4" s="7"/>
      <c r="Y4" s="9"/>
      <c r="Z4" s="6">
        <f>IF(SUM(O4:W4)=0,IF(DONNEES[[#This Row],[ACPTE RECU]]-DONNEES[[#This Row],[ACPTE RENDU]]=0,"",DONNEES[[#This Row],[ACPTE RECU]]-DONNEES[[#This Row],[ACPTE RENDU]]),SUM(O4:W4)+DONNEES[[#This Row],[ACPTE RECU]]-DONNEES[[#This Row],[ACPTE RENDU]])</f>
        <v>155.80000000000001</v>
      </c>
      <c r="AA4" s="77">
        <f>IF(DONNEES[[#This Row],[DEP
REC]]="D",DONNEES[[#This Row],[DEPART]],"")</f>
        <v>44558</v>
      </c>
      <c r="AB4" s="7"/>
      <c r="AC4" s="8"/>
      <c r="AD4" s="8"/>
      <c r="AE4" s="8"/>
      <c r="AF4" s="58">
        <v>5.8</v>
      </c>
      <c r="AG4" s="8">
        <v>150</v>
      </c>
      <c r="AH4" s="8"/>
      <c r="AI4" s="8"/>
      <c r="AJ4" s="9"/>
      <c r="AK4" s="54">
        <f t="shared" ref="AK4:AK7" si="0">IF(SUM(AB4:AJ4)=0,"",SUM(AB4:AJ4))</f>
        <v>155.80000000000001</v>
      </c>
      <c r="AL4" s="11"/>
      <c r="AM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" s="118">
        <f>IF(DONNEES[[#This Row],[DATE
PAIEMT]]="",0,DONNEES[[#This Row],[DATE
PAIEMT]])</f>
        <v>44558</v>
      </c>
    </row>
    <row r="5" spans="1:41" x14ac:dyDescent="0.25">
      <c r="A5" s="97">
        <f>DONNEES[[#This Row],[AM]]</f>
        <v>44557</v>
      </c>
      <c r="B5" s="95">
        <f>WEEKDAY(DONNEES[[#This Row],[JOUR]],2)</f>
        <v>1</v>
      </c>
      <c r="C5" s="99">
        <f>_xlfn.ISOWEEKNUM(DONNEES[[#This Row],[AM]]-1)</f>
        <v>51</v>
      </c>
      <c r="D5" s="92">
        <v>44557</v>
      </c>
      <c r="E5" s="93">
        <f>DONNEES[[#This Row],[AM]]+1</f>
        <v>44558</v>
      </c>
      <c r="F5" s="14" t="s">
        <v>38</v>
      </c>
      <c r="G5" s="85">
        <v>5</v>
      </c>
      <c r="H5" s="13">
        <v>2</v>
      </c>
      <c r="I5" s="103" t="s">
        <v>57</v>
      </c>
      <c r="J5" s="14" t="s">
        <v>39</v>
      </c>
      <c r="K5" s="15">
        <v>182.7</v>
      </c>
      <c r="L5" s="16">
        <v>2</v>
      </c>
      <c r="M5" s="16"/>
      <c r="N5" s="17">
        <v>7</v>
      </c>
      <c r="O5" s="11"/>
      <c r="P5" s="8"/>
      <c r="Q5" s="8"/>
      <c r="R5" s="8"/>
      <c r="S5" s="8"/>
      <c r="T5" s="8"/>
      <c r="U5" s="8"/>
      <c r="V5" s="8"/>
      <c r="W5" s="9"/>
      <c r="X5" s="7"/>
      <c r="Y5" s="9"/>
      <c r="Z5" s="6" t="str">
        <f>IF(SUM(O5:W5)=0,IF(DONNEES[[#This Row],[ACPTE RECU]]-DONNEES[[#This Row],[ACPTE RENDU]]=0,"",DONNEES[[#This Row],[ACPTE RECU]]-DONNEES[[#This Row],[ACPTE RENDU]]),SUM(O5:W5)+DONNEES[[#This Row],[ACPTE RECU]]-DONNEES[[#This Row],[ACPTE RENDU]])</f>
        <v/>
      </c>
      <c r="AA5" s="77" t="str">
        <f>IF(DONNEES[[#This Row],[DEP
REC]]="D",DONNEES[[#This Row],[DEPART]],"")</f>
        <v/>
      </c>
      <c r="AB5" s="7"/>
      <c r="AC5" s="8"/>
      <c r="AD5" s="8"/>
      <c r="AE5" s="8"/>
      <c r="AF5" s="8"/>
      <c r="AG5" s="8"/>
      <c r="AH5" s="8"/>
      <c r="AI5" s="8"/>
      <c r="AJ5" s="9"/>
      <c r="AK5" s="54" t="str">
        <f t="shared" si="0"/>
        <v/>
      </c>
      <c r="AL5" s="11"/>
      <c r="AM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" s="118">
        <f>IF(DONNEES[[#This Row],[DATE
PAIEMT]]="",0,DONNEES[[#This Row],[DATE
PAIEMT]])</f>
        <v>0</v>
      </c>
    </row>
    <row r="6" spans="1:41" x14ac:dyDescent="0.25">
      <c r="A6" s="97">
        <f>DONNEES[[#This Row],[AM]]</f>
        <v>44557</v>
      </c>
      <c r="B6" s="95">
        <f>WEEKDAY(DONNEES[[#This Row],[JOUR]],2)</f>
        <v>1</v>
      </c>
      <c r="C6" s="99">
        <f>_xlfn.ISOWEEKNUM(DONNEES[[#This Row],[AM]]-1)</f>
        <v>51</v>
      </c>
      <c r="D6" s="92">
        <v>44557</v>
      </c>
      <c r="E6" s="93">
        <f>DONNEES[[#This Row],[AM]]+1</f>
        <v>44558</v>
      </c>
      <c r="F6" s="14" t="s">
        <v>38</v>
      </c>
      <c r="G6" s="85">
        <v>12</v>
      </c>
      <c r="H6" s="13">
        <v>2</v>
      </c>
      <c r="I6" s="103" t="s">
        <v>58</v>
      </c>
      <c r="J6" s="14" t="s">
        <v>39</v>
      </c>
      <c r="K6" s="15">
        <v>142.19999999999999</v>
      </c>
      <c r="L6" s="16"/>
      <c r="M6" s="16"/>
      <c r="N6" s="17"/>
      <c r="O6" s="11"/>
      <c r="P6" s="8"/>
      <c r="Q6" s="8"/>
      <c r="R6" s="8"/>
      <c r="S6" s="8"/>
      <c r="T6" s="8"/>
      <c r="U6" s="8"/>
      <c r="V6" s="8"/>
      <c r="W6" s="9"/>
      <c r="X6" s="7"/>
      <c r="Y6" s="9"/>
      <c r="Z6" s="6" t="str">
        <f>IF(SUM(O6:W6)=0,IF(DONNEES[[#This Row],[ACPTE RECU]]-DONNEES[[#This Row],[ACPTE RENDU]]=0,"",DONNEES[[#This Row],[ACPTE RECU]]-DONNEES[[#This Row],[ACPTE RENDU]]),SUM(O6:W6)+DONNEES[[#This Row],[ACPTE RECU]]-DONNEES[[#This Row],[ACPTE RENDU]])</f>
        <v/>
      </c>
      <c r="AA6" s="77" t="str">
        <f>IF(DONNEES[[#This Row],[DEP
REC]]="D",DONNEES[[#This Row],[DEPART]],"")</f>
        <v/>
      </c>
      <c r="AB6" s="7"/>
      <c r="AC6" s="8"/>
      <c r="AD6" s="8"/>
      <c r="AE6" s="8"/>
      <c r="AF6" s="8"/>
      <c r="AG6" s="8"/>
      <c r="AH6" s="8"/>
      <c r="AI6" s="8"/>
      <c r="AJ6" s="9"/>
      <c r="AK6" s="54" t="str">
        <f t="shared" si="0"/>
        <v/>
      </c>
      <c r="AL6" s="11"/>
      <c r="AM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" s="118">
        <f>IF(DONNEES[[#This Row],[DATE
PAIEMT]]="",0,DONNEES[[#This Row],[DATE
PAIEMT]])</f>
        <v>0</v>
      </c>
    </row>
    <row r="7" spans="1:41" x14ac:dyDescent="0.25">
      <c r="A7" s="97">
        <f>DONNEES[[#This Row],[AM]]</f>
        <v>44557</v>
      </c>
      <c r="B7" s="95">
        <f>WEEKDAY(DONNEES[[#This Row],[JOUR]],2)</f>
        <v>1</v>
      </c>
      <c r="C7" s="99">
        <f>_xlfn.ISOWEEKNUM(DONNEES[[#This Row],[AM]]-1)</f>
        <v>51</v>
      </c>
      <c r="D7" s="92">
        <v>44557</v>
      </c>
      <c r="E7" s="93">
        <f>DONNEES[[#This Row],[AM]]+1</f>
        <v>44558</v>
      </c>
      <c r="F7" s="14" t="s">
        <v>38</v>
      </c>
      <c r="G7" s="85">
        <v>20</v>
      </c>
      <c r="H7" s="13">
        <v>2</v>
      </c>
      <c r="I7" s="103" t="s">
        <v>59</v>
      </c>
      <c r="J7" s="14" t="s">
        <v>21</v>
      </c>
      <c r="K7" s="15">
        <v>213</v>
      </c>
      <c r="L7" s="16">
        <v>2</v>
      </c>
      <c r="M7" s="16">
        <v>1</v>
      </c>
      <c r="N7" s="17">
        <v>8</v>
      </c>
      <c r="O7" s="11"/>
      <c r="P7" s="8"/>
      <c r="Q7" s="8"/>
      <c r="R7" s="8"/>
      <c r="S7" s="8"/>
      <c r="T7" s="8"/>
      <c r="U7" s="8"/>
      <c r="V7" s="8"/>
      <c r="W7" s="9"/>
      <c r="X7" s="7"/>
      <c r="Y7" s="9"/>
      <c r="Z7" s="6" t="str">
        <f>IF(SUM(O7:W7)=0,IF(DONNEES[[#This Row],[ACPTE RECU]]-DONNEES[[#This Row],[ACPTE RENDU]]=0,"",DONNEES[[#This Row],[ACPTE RECU]]-DONNEES[[#This Row],[ACPTE RENDU]]),SUM(O7:W7)+DONNEES[[#This Row],[ACPTE RECU]]-DONNEES[[#This Row],[ACPTE RENDU]])</f>
        <v/>
      </c>
      <c r="AA7" s="77" t="str">
        <f>IF(DONNEES[[#This Row],[DEP
REC]]="D",DONNEES[[#This Row],[DEPART]],"")</f>
        <v/>
      </c>
      <c r="AB7" s="7"/>
      <c r="AC7" s="8"/>
      <c r="AD7" s="8"/>
      <c r="AE7" s="8"/>
      <c r="AF7" s="8"/>
      <c r="AG7" s="8"/>
      <c r="AH7" s="8"/>
      <c r="AI7" s="8"/>
      <c r="AJ7" s="9"/>
      <c r="AK7" s="54" t="str">
        <f t="shared" si="0"/>
        <v/>
      </c>
      <c r="AL7" s="11"/>
      <c r="AM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" s="118">
        <f>IF(DONNEES[[#This Row],[DATE
PAIEMT]]="",0,DONNEES[[#This Row],[DATE
PAIEMT]])</f>
        <v>0</v>
      </c>
    </row>
    <row r="8" spans="1:41" x14ac:dyDescent="0.25">
      <c r="A8" s="97">
        <f>DONNEES[[#This Row],[AM]]</f>
        <v>44557</v>
      </c>
      <c r="B8" s="95">
        <f>WEEKDAY(DONNEES[[#This Row],[JOUR]],2)</f>
        <v>1</v>
      </c>
      <c r="C8" s="99">
        <f>_xlfn.ISOWEEKNUM(DONNEES[[#This Row],[AM]]-1)</f>
        <v>51</v>
      </c>
      <c r="D8" s="92">
        <v>44557</v>
      </c>
      <c r="E8" s="93">
        <f>DONNEES[[#This Row],[AM]]+1</f>
        <v>44558</v>
      </c>
      <c r="F8" s="14" t="s">
        <v>38</v>
      </c>
      <c r="G8" s="85">
        <v>21</v>
      </c>
      <c r="H8" s="13">
        <v>1</v>
      </c>
      <c r="I8" s="103" t="s">
        <v>60</v>
      </c>
      <c r="J8" s="14" t="s">
        <v>21</v>
      </c>
      <c r="K8" s="15">
        <v>213</v>
      </c>
      <c r="L8" s="16">
        <v>1</v>
      </c>
      <c r="M8" s="16"/>
      <c r="N8" s="17"/>
      <c r="O8" s="11"/>
      <c r="P8" s="8"/>
      <c r="Q8" s="8"/>
      <c r="R8" s="8"/>
      <c r="S8" s="8"/>
      <c r="T8" s="8"/>
      <c r="U8" s="8"/>
      <c r="V8" s="8"/>
      <c r="W8" s="9"/>
      <c r="X8" s="7"/>
      <c r="Y8" s="9"/>
      <c r="Z8" s="6" t="str">
        <f>IF(SUM(O8:W8)=0,IF(DONNEES[[#This Row],[ACPTE RECU]]-DONNEES[[#This Row],[ACPTE RENDU]]=0,"",DONNEES[[#This Row],[ACPTE RECU]]-DONNEES[[#This Row],[ACPTE RENDU]]),SUM(O8:W8)+DONNEES[[#This Row],[ACPTE RECU]]-DONNEES[[#This Row],[ACPTE RENDU]])</f>
        <v/>
      </c>
      <c r="AA8" s="77" t="str">
        <f>IF(DONNEES[[#This Row],[DEP
REC]]="D",DONNEES[[#This Row],[DEPART]],"")</f>
        <v/>
      </c>
      <c r="AB8" s="7"/>
      <c r="AC8" s="8"/>
      <c r="AD8" s="8"/>
      <c r="AE8" s="8"/>
      <c r="AF8" s="8"/>
      <c r="AG8" s="8"/>
      <c r="AH8" s="8"/>
      <c r="AI8" s="8"/>
      <c r="AJ8" s="9"/>
      <c r="AK8" s="54" t="str">
        <f t="shared" ref="AK8:AK25" si="1">IF(SUM(AB8:AJ8)=0,"",SUM(AB8:AJ8))</f>
        <v/>
      </c>
      <c r="AL8" s="11"/>
      <c r="AM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" s="118">
        <f>IF(DONNEES[[#This Row],[DATE
PAIEMT]]="",0,DONNEES[[#This Row],[DATE
PAIEMT]])</f>
        <v>0</v>
      </c>
    </row>
    <row r="9" spans="1:41" x14ac:dyDescent="0.25">
      <c r="A9" s="97">
        <f>DONNEES[[#This Row],[AM]]</f>
        <v>44557</v>
      </c>
      <c r="B9" s="95">
        <f>WEEKDAY(DONNEES[[#This Row],[JOUR]],2)</f>
        <v>1</v>
      </c>
      <c r="C9" s="99">
        <f>_xlfn.ISOWEEKNUM(DONNEES[[#This Row],[AM]]-1)</f>
        <v>51</v>
      </c>
      <c r="D9" s="92">
        <v>44557</v>
      </c>
      <c r="E9" s="93">
        <f>DONNEES[[#This Row],[AM]]+1</f>
        <v>44558</v>
      </c>
      <c r="F9" s="14" t="s">
        <v>38</v>
      </c>
      <c r="G9" s="85">
        <v>22</v>
      </c>
      <c r="H9" s="13">
        <v>2</v>
      </c>
      <c r="I9" s="103" t="s">
        <v>61</v>
      </c>
      <c r="J9" s="14" t="s">
        <v>21</v>
      </c>
      <c r="K9" s="15">
        <v>213</v>
      </c>
      <c r="L9" s="16">
        <v>2</v>
      </c>
      <c r="M9" s="16"/>
      <c r="N9" s="17"/>
      <c r="O9" s="11"/>
      <c r="P9" s="8"/>
      <c r="Q9" s="8"/>
      <c r="R9" s="8"/>
      <c r="S9" s="8"/>
      <c r="T9" s="8"/>
      <c r="U9" s="8"/>
      <c r="V9" s="8"/>
      <c r="W9" s="9"/>
      <c r="X9" s="7"/>
      <c r="Y9" s="9"/>
      <c r="Z9" s="6" t="str">
        <f>IF(SUM(O9:W9)=0,IF(DONNEES[[#This Row],[ACPTE RECU]]-DONNEES[[#This Row],[ACPTE RENDU]]=0,"",DONNEES[[#This Row],[ACPTE RECU]]-DONNEES[[#This Row],[ACPTE RENDU]]),SUM(O9:W9)+DONNEES[[#This Row],[ACPTE RECU]]-DONNEES[[#This Row],[ACPTE RENDU]])</f>
        <v/>
      </c>
      <c r="AA9" s="77" t="str">
        <f>IF(DONNEES[[#This Row],[DEP
REC]]="D",DONNEES[[#This Row],[DEPART]],"")</f>
        <v/>
      </c>
      <c r="AB9" s="7"/>
      <c r="AC9" s="8"/>
      <c r="AD9" s="8"/>
      <c r="AE9" s="8"/>
      <c r="AF9" s="8"/>
      <c r="AG9" s="8"/>
      <c r="AH9" s="8"/>
      <c r="AI9" s="8"/>
      <c r="AJ9" s="9"/>
      <c r="AK9" s="54" t="str">
        <f t="shared" si="1"/>
        <v/>
      </c>
      <c r="AL9" s="11"/>
      <c r="AM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" s="118">
        <f>IF(DONNEES[[#This Row],[DATE
PAIEMT]]="",0,DONNEES[[#This Row],[DATE
PAIEMT]])</f>
        <v>0</v>
      </c>
    </row>
    <row r="10" spans="1:41" x14ac:dyDescent="0.25">
      <c r="A10" s="97">
        <f>DONNEES[[#This Row],[AM]]</f>
        <v>44557</v>
      </c>
      <c r="B10" s="95">
        <f>WEEKDAY(DONNEES[[#This Row],[JOUR]],2)</f>
        <v>1</v>
      </c>
      <c r="C10" s="99">
        <f>_xlfn.ISOWEEKNUM(DONNEES[[#This Row],[AM]]-1)</f>
        <v>51</v>
      </c>
      <c r="D10" s="92">
        <v>44557</v>
      </c>
      <c r="E10" s="93">
        <f>DONNEES[[#This Row],[AM]]+1</f>
        <v>44558</v>
      </c>
      <c r="F10" s="14" t="s">
        <v>38</v>
      </c>
      <c r="G10" s="85">
        <v>25</v>
      </c>
      <c r="H10" s="13">
        <v>2</v>
      </c>
      <c r="I10" s="103" t="s">
        <v>62</v>
      </c>
      <c r="J10" s="14" t="s">
        <v>21</v>
      </c>
      <c r="K10" s="15">
        <v>160</v>
      </c>
      <c r="L10" s="16">
        <v>2</v>
      </c>
      <c r="M10" s="16"/>
      <c r="N10" s="17"/>
      <c r="O10" s="11"/>
      <c r="P10" s="8"/>
      <c r="Q10" s="8"/>
      <c r="R10" s="8"/>
      <c r="S10" s="8"/>
      <c r="T10" s="8"/>
      <c r="U10" s="8"/>
      <c r="V10" s="8"/>
      <c r="W10" s="9"/>
      <c r="X10" s="7"/>
      <c r="Y10" s="9"/>
      <c r="Z10" s="6" t="str">
        <f>IF(SUM(O10:W10)=0,IF(DONNEES[[#This Row],[ACPTE RECU]]-DONNEES[[#This Row],[ACPTE RENDU]]=0,"",DONNEES[[#This Row],[ACPTE RECU]]-DONNEES[[#This Row],[ACPTE RENDU]]),SUM(O10:W10)+DONNEES[[#This Row],[ACPTE RECU]]-DONNEES[[#This Row],[ACPTE RENDU]])</f>
        <v/>
      </c>
      <c r="AA10" s="77" t="str">
        <f>IF(DONNEES[[#This Row],[DEP
REC]]="D",DONNEES[[#This Row],[DEPART]],"")</f>
        <v/>
      </c>
      <c r="AB10" s="7"/>
      <c r="AC10" s="8"/>
      <c r="AD10" s="8"/>
      <c r="AE10" s="8"/>
      <c r="AF10" s="8"/>
      <c r="AG10" s="8"/>
      <c r="AH10" s="8"/>
      <c r="AI10" s="8"/>
      <c r="AJ10" s="9"/>
      <c r="AK10" s="54" t="str">
        <f t="shared" si="1"/>
        <v/>
      </c>
      <c r="AL10" s="11"/>
      <c r="AM1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" s="118">
        <f>IF(DONNEES[[#This Row],[DATE
PAIEMT]]="",0,DONNEES[[#This Row],[DATE
PAIEMT]])</f>
        <v>0</v>
      </c>
    </row>
    <row r="11" spans="1:41" x14ac:dyDescent="0.25">
      <c r="A11" s="97">
        <f>DONNEES[[#This Row],[AM]]</f>
        <v>44557</v>
      </c>
      <c r="B11" s="95">
        <f>WEEKDAY(DONNEES[[#This Row],[JOUR]],2)</f>
        <v>1</v>
      </c>
      <c r="C11" s="99">
        <f>_xlfn.ISOWEEKNUM(DONNEES[[#This Row],[AM]]-1)</f>
        <v>51</v>
      </c>
      <c r="D11" s="92">
        <v>44557</v>
      </c>
      <c r="E11" s="93">
        <f>DONNEES[[#This Row],[AM]]+1</f>
        <v>44558</v>
      </c>
      <c r="F11" s="14" t="s">
        <v>38</v>
      </c>
      <c r="G11" s="85">
        <v>6</v>
      </c>
      <c r="H11" s="13">
        <v>2</v>
      </c>
      <c r="I11" s="103" t="s">
        <v>63</v>
      </c>
      <c r="J11" s="14" t="s">
        <v>21</v>
      </c>
      <c r="K11" s="15">
        <v>205</v>
      </c>
      <c r="L11" s="16">
        <v>2</v>
      </c>
      <c r="M11" s="16">
        <v>1</v>
      </c>
      <c r="N11" s="17"/>
      <c r="O11" s="11"/>
      <c r="P11" s="8"/>
      <c r="Q11" s="8"/>
      <c r="R11" s="8"/>
      <c r="S11" s="8"/>
      <c r="T11" s="8"/>
      <c r="U11" s="8"/>
      <c r="V11" s="8"/>
      <c r="W11" s="9"/>
      <c r="X11" s="7"/>
      <c r="Y11" s="9"/>
      <c r="Z11" s="6" t="str">
        <f>IF(SUM(O11:W11)=0,IF(DONNEES[[#This Row],[ACPTE RECU]]-DONNEES[[#This Row],[ACPTE RENDU]]=0,"",DONNEES[[#This Row],[ACPTE RECU]]-DONNEES[[#This Row],[ACPTE RENDU]]),SUM(O11:W11)+DONNEES[[#This Row],[ACPTE RECU]]-DONNEES[[#This Row],[ACPTE RENDU]])</f>
        <v/>
      </c>
      <c r="AA11" s="77" t="str">
        <f>IF(DONNEES[[#This Row],[DEP
REC]]="D",DONNEES[[#This Row],[DEPART]],"")</f>
        <v/>
      </c>
      <c r="AB11" s="7"/>
      <c r="AC11" s="8"/>
      <c r="AD11" s="8"/>
      <c r="AE11" s="8"/>
      <c r="AF11" s="8"/>
      <c r="AG11" s="8"/>
      <c r="AH11" s="8"/>
      <c r="AI11" s="8"/>
      <c r="AJ11" s="9"/>
      <c r="AK11" s="54" t="str">
        <f t="shared" si="1"/>
        <v/>
      </c>
      <c r="AL11" s="11"/>
      <c r="AM1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" s="118">
        <f>IF(DONNEES[[#This Row],[DATE
PAIEMT]]="",0,DONNEES[[#This Row],[DATE
PAIEMT]])</f>
        <v>0</v>
      </c>
    </row>
    <row r="12" spans="1:41" x14ac:dyDescent="0.25">
      <c r="A12" s="97">
        <f>DONNEES[[#This Row],[AM]]</f>
        <v>44557</v>
      </c>
      <c r="B12" s="95">
        <f>WEEKDAY(DONNEES[[#This Row],[JOUR]],2)</f>
        <v>1</v>
      </c>
      <c r="C12" s="99">
        <f>_xlfn.ISOWEEKNUM(DONNEES[[#This Row],[AM]]-1)</f>
        <v>51</v>
      </c>
      <c r="D12" s="92">
        <v>44557</v>
      </c>
      <c r="E12" s="93">
        <f>DONNEES[[#This Row],[AM]]+1</f>
        <v>44558</v>
      </c>
      <c r="F12" s="14" t="s">
        <v>38</v>
      </c>
      <c r="G12" s="85">
        <v>16</v>
      </c>
      <c r="H12" s="13">
        <v>2</v>
      </c>
      <c r="I12" s="103" t="s">
        <v>64</v>
      </c>
      <c r="J12" s="14" t="s">
        <v>39</v>
      </c>
      <c r="K12" s="15">
        <v>193.5</v>
      </c>
      <c r="L12" s="16">
        <v>2</v>
      </c>
      <c r="M12" s="16"/>
      <c r="N12" s="17"/>
      <c r="O12" s="11"/>
      <c r="P12" s="8"/>
      <c r="Q12" s="8"/>
      <c r="R12" s="8"/>
      <c r="S12" s="8"/>
      <c r="T12" s="8"/>
      <c r="U12" s="8"/>
      <c r="V12" s="8"/>
      <c r="W12" s="9"/>
      <c r="X12" s="7"/>
      <c r="Y12" s="9"/>
      <c r="Z12" s="6" t="str">
        <f>IF(SUM(O12:W12)=0,IF(DONNEES[[#This Row],[ACPTE RECU]]-DONNEES[[#This Row],[ACPTE RENDU]]=0,"",DONNEES[[#This Row],[ACPTE RECU]]-DONNEES[[#This Row],[ACPTE RENDU]]),SUM(O12:W12)+DONNEES[[#This Row],[ACPTE RECU]]-DONNEES[[#This Row],[ACPTE RENDU]])</f>
        <v/>
      </c>
      <c r="AA12" s="77" t="str">
        <f>IF(DONNEES[[#This Row],[DEP
REC]]="D",DONNEES[[#This Row],[DEPART]],"")</f>
        <v/>
      </c>
      <c r="AB12" s="7"/>
      <c r="AC12" s="8"/>
      <c r="AD12" s="8"/>
      <c r="AE12" s="8"/>
      <c r="AF12" s="8"/>
      <c r="AG12" s="8"/>
      <c r="AH12" s="8"/>
      <c r="AI12" s="8"/>
      <c r="AJ12" s="9"/>
      <c r="AK12" s="54" t="str">
        <f t="shared" si="1"/>
        <v/>
      </c>
      <c r="AL12" s="11"/>
      <c r="AM1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" s="118">
        <f>IF(DONNEES[[#This Row],[DATE
PAIEMT]]="",0,DONNEES[[#This Row],[DATE
PAIEMT]])</f>
        <v>0</v>
      </c>
    </row>
    <row r="13" spans="1:41" x14ac:dyDescent="0.25">
      <c r="A13" s="97">
        <f>DONNEES[[#This Row],[AM]]</f>
        <v>44558</v>
      </c>
      <c r="B13" s="95">
        <f>WEEKDAY(DONNEES[[#This Row],[JOUR]],2)</f>
        <v>2</v>
      </c>
      <c r="C13" s="99">
        <f>_xlfn.ISOWEEKNUM(DONNEES[[#This Row],[AM]]-1)</f>
        <v>52</v>
      </c>
      <c r="D13" s="92">
        <v>44558</v>
      </c>
      <c r="E13" s="93">
        <f>DONNEES[[#This Row],[AM]]+1</f>
        <v>44559</v>
      </c>
      <c r="F13" s="14" t="s">
        <v>37</v>
      </c>
      <c r="G13" s="85">
        <v>15</v>
      </c>
      <c r="H13" s="13"/>
      <c r="I13" s="103" t="s">
        <v>71</v>
      </c>
      <c r="J13" s="14" t="s">
        <v>39</v>
      </c>
      <c r="K13" s="15">
        <v>234</v>
      </c>
      <c r="L13" s="16"/>
      <c r="M13" s="16"/>
      <c r="N13" s="17"/>
      <c r="O13" s="11">
        <v>234</v>
      </c>
      <c r="P13" s="8"/>
      <c r="Q13" s="8"/>
      <c r="R13" s="8"/>
      <c r="S13" s="8"/>
      <c r="T13" s="8"/>
      <c r="U13" s="8"/>
      <c r="V13" s="8"/>
      <c r="W13" s="9"/>
      <c r="X13" s="7"/>
      <c r="Y13" s="9"/>
      <c r="Z13" s="6">
        <f>IF(SUM(O13:W13)=0,IF(DONNEES[[#This Row],[ACPTE RECU]]-DONNEES[[#This Row],[ACPTE RENDU]]=0,"",DONNEES[[#This Row],[ACPTE RECU]]-DONNEES[[#This Row],[ACPTE RENDU]]),SUM(O13:W13)+DONNEES[[#This Row],[ACPTE RECU]]-DONNEES[[#This Row],[ACPTE RENDU]])</f>
        <v>234</v>
      </c>
      <c r="AA13" s="77">
        <v>44557</v>
      </c>
      <c r="AB13" s="7"/>
      <c r="AC13" s="8"/>
      <c r="AD13" s="8"/>
      <c r="AE13" s="58">
        <v>234</v>
      </c>
      <c r="AF13" s="8"/>
      <c r="AG13" s="8"/>
      <c r="AH13" s="8"/>
      <c r="AI13" s="8"/>
      <c r="AJ13" s="9"/>
      <c r="AK13" s="54">
        <f t="shared" si="1"/>
        <v>234</v>
      </c>
      <c r="AL13" s="11"/>
      <c r="AM1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" s="118">
        <f>IF(DONNEES[[#This Row],[DATE
PAIEMT]]="",0,DONNEES[[#This Row],[DATE
PAIEMT]])</f>
        <v>44557</v>
      </c>
    </row>
    <row r="14" spans="1:41" x14ac:dyDescent="0.25">
      <c r="A14" s="97">
        <f>DONNEES[[#This Row],[AM]]</f>
        <v>44558</v>
      </c>
      <c r="B14" s="95">
        <f>WEEKDAY(DONNEES[[#This Row],[JOUR]],2)</f>
        <v>2</v>
      </c>
      <c r="C14" s="99">
        <f>_xlfn.ISOWEEKNUM(DONNEES[[#This Row],[AM]]-1)</f>
        <v>52</v>
      </c>
      <c r="D14" s="92">
        <v>44558</v>
      </c>
      <c r="E14" s="93">
        <f>DONNEES[[#This Row],[AM]]+1</f>
        <v>44559</v>
      </c>
      <c r="F14" s="14" t="s">
        <v>37</v>
      </c>
      <c r="G14" s="85">
        <v>24</v>
      </c>
      <c r="H14" s="13">
        <v>2</v>
      </c>
      <c r="I14" s="103" t="s">
        <v>66</v>
      </c>
      <c r="J14" s="14" t="s">
        <v>39</v>
      </c>
      <c r="K14" s="15">
        <v>147.6</v>
      </c>
      <c r="L14" s="16">
        <v>2</v>
      </c>
      <c r="M14" s="16"/>
      <c r="N14" s="17"/>
      <c r="O14" s="11">
        <v>148.5</v>
      </c>
      <c r="P14" s="8">
        <v>24</v>
      </c>
      <c r="Q14" s="8"/>
      <c r="R14" s="8"/>
      <c r="S14" s="8"/>
      <c r="T14" s="8"/>
      <c r="U14" s="8"/>
      <c r="V14" s="8"/>
      <c r="W14" s="9">
        <v>0.9</v>
      </c>
      <c r="X14" s="7"/>
      <c r="Y14" s="9"/>
      <c r="Z14" s="6">
        <f>IF(SUM(O14:W14)=0,IF(DONNEES[[#This Row],[ACPTE RECU]]-DONNEES[[#This Row],[ACPTE RENDU]]=0,"",DONNEES[[#This Row],[ACPTE RECU]]-DONNEES[[#This Row],[ACPTE RENDU]]),SUM(O14:W14)+DONNEES[[#This Row],[ACPTE RECU]]-DONNEES[[#This Row],[ACPTE RENDU]])</f>
        <v>173.4</v>
      </c>
      <c r="AA14" s="77">
        <f>IF(DONNEES[[#This Row],[DEP
REC]]="D",DONNEES[[#This Row],[DEPART]],"")</f>
        <v>44559</v>
      </c>
      <c r="AB14" s="59">
        <v>173.4</v>
      </c>
      <c r="AC14" s="8"/>
      <c r="AD14" s="8"/>
      <c r="AE14" s="8"/>
      <c r="AF14" s="8"/>
      <c r="AG14" s="8"/>
      <c r="AH14" s="8"/>
      <c r="AI14" s="8"/>
      <c r="AJ14" s="9"/>
      <c r="AK14" s="54">
        <f t="shared" si="1"/>
        <v>173.4</v>
      </c>
      <c r="AL14" s="11"/>
      <c r="AM1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4" s="118">
        <f>IF(DONNEES[[#This Row],[DATE
PAIEMT]]="",0,DONNEES[[#This Row],[DATE
PAIEMT]])</f>
        <v>44559</v>
      </c>
    </row>
    <row r="15" spans="1:41" x14ac:dyDescent="0.25">
      <c r="A15" s="97">
        <f>DONNEES[[#This Row],[AM]]</f>
        <v>44558</v>
      </c>
      <c r="B15" s="95">
        <f>WEEKDAY(DONNEES[[#This Row],[JOUR]],2)</f>
        <v>2</v>
      </c>
      <c r="C15" s="99">
        <f>_xlfn.ISOWEEKNUM(DONNEES[[#This Row],[AM]]-1)</f>
        <v>52</v>
      </c>
      <c r="D15" s="92">
        <v>44558</v>
      </c>
      <c r="E15" s="93">
        <f>DONNEES[[#This Row],[AM]]+1</f>
        <v>44559</v>
      </c>
      <c r="F15" s="14" t="s">
        <v>37</v>
      </c>
      <c r="G15" s="85">
        <v>12</v>
      </c>
      <c r="H15" s="13">
        <v>2</v>
      </c>
      <c r="I15" s="103" t="s">
        <v>58</v>
      </c>
      <c r="J15" s="14" t="s">
        <v>39</v>
      </c>
      <c r="K15" s="15">
        <v>147.6</v>
      </c>
      <c r="L15" s="16"/>
      <c r="M15" s="16"/>
      <c r="N15" s="17"/>
      <c r="O15" s="11">
        <f>142.2+147.6+1.8</f>
        <v>291.59999999999997</v>
      </c>
      <c r="P15" s="8"/>
      <c r="Q15" s="8"/>
      <c r="R15" s="8"/>
      <c r="S15" s="8"/>
      <c r="T15" s="8"/>
      <c r="U15" s="8"/>
      <c r="V15" s="8"/>
      <c r="W15" s="9">
        <v>1.8</v>
      </c>
      <c r="X15" s="7"/>
      <c r="Y15" s="9"/>
      <c r="Z15" s="6">
        <f>IF(SUM(O15:W15)=0,IF(DONNEES[[#This Row],[ACPTE RECU]]-DONNEES[[#This Row],[ACPTE RENDU]]=0,"",DONNEES[[#This Row],[ACPTE RECU]]-DONNEES[[#This Row],[ACPTE RENDU]]),SUM(O15:W15)+DONNEES[[#This Row],[ACPTE RECU]]-DONNEES[[#This Row],[ACPTE RENDU]])</f>
        <v>293.39999999999998</v>
      </c>
      <c r="AA15" s="77">
        <f>IF(DONNEES[[#This Row],[DEP
REC]]="D",DONNEES[[#This Row],[DEPART]],"")</f>
        <v>44559</v>
      </c>
      <c r="AB15" s="59">
        <v>293.39999999999998</v>
      </c>
      <c r="AC15" s="8"/>
      <c r="AD15" s="8"/>
      <c r="AE15" s="8"/>
      <c r="AF15" s="8"/>
      <c r="AG15" s="8"/>
      <c r="AH15" s="8"/>
      <c r="AI15" s="8"/>
      <c r="AJ15" s="9"/>
      <c r="AK15" s="54">
        <f t="shared" si="1"/>
        <v>293.39999999999998</v>
      </c>
      <c r="AL15" s="11"/>
      <c r="AM1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5" s="118">
        <f>IF(DONNEES[[#This Row],[DATE
PAIEMT]]="",0,DONNEES[[#This Row],[DATE
PAIEMT]])</f>
        <v>44559</v>
      </c>
    </row>
    <row r="16" spans="1:41" x14ac:dyDescent="0.25">
      <c r="A16" s="97">
        <f>DONNEES[[#This Row],[AM]]</f>
        <v>44558</v>
      </c>
      <c r="B16" s="95">
        <f>WEEKDAY(DONNEES[[#This Row],[JOUR]],2)</f>
        <v>2</v>
      </c>
      <c r="C16" s="99">
        <f>_xlfn.ISOWEEKNUM(DONNEES[[#This Row],[AM]]-1)</f>
        <v>52</v>
      </c>
      <c r="D16" s="92">
        <v>44558</v>
      </c>
      <c r="E16" s="93">
        <f>DONNEES[[#This Row],[AM]]+1</f>
        <v>44559</v>
      </c>
      <c r="F16" s="14" t="s">
        <v>37</v>
      </c>
      <c r="G16" s="85">
        <v>25</v>
      </c>
      <c r="H16" s="13">
        <v>2</v>
      </c>
      <c r="I16" s="103" t="s">
        <v>62</v>
      </c>
      <c r="J16" s="14" t="s">
        <v>21</v>
      </c>
      <c r="K16" s="15">
        <v>185</v>
      </c>
      <c r="L16" s="16">
        <v>2</v>
      </c>
      <c r="M16" s="16"/>
      <c r="N16" s="17"/>
      <c r="O16" s="11">
        <f>160+185+1.8</f>
        <v>346.8</v>
      </c>
      <c r="P16" s="8">
        <v>48</v>
      </c>
      <c r="Q16" s="8"/>
      <c r="R16" s="8"/>
      <c r="S16" s="8"/>
      <c r="T16" s="8"/>
      <c r="U16" s="8"/>
      <c r="V16" s="8"/>
      <c r="W16" s="9">
        <v>1.8</v>
      </c>
      <c r="X16" s="7"/>
      <c r="Y16" s="9"/>
      <c r="Z16" s="6">
        <f>IF(SUM(O16:W16)=0,IF(DONNEES[[#This Row],[ACPTE RECU]]-DONNEES[[#This Row],[ACPTE RENDU]]=0,"",DONNEES[[#This Row],[ACPTE RECU]]-DONNEES[[#This Row],[ACPTE RENDU]]),SUM(O16:W16)+DONNEES[[#This Row],[ACPTE RECU]]-DONNEES[[#This Row],[ACPTE RENDU]])</f>
        <v>396.6</v>
      </c>
      <c r="AA16" s="77">
        <f>IF(DONNEES[[#This Row],[DEP
REC]]="D",DONNEES[[#This Row],[DEPART]],"")</f>
        <v>44559</v>
      </c>
      <c r="AB16" s="7"/>
      <c r="AC16" s="8"/>
      <c r="AD16" s="8"/>
      <c r="AE16" s="8"/>
      <c r="AF16" s="8"/>
      <c r="AG16" s="8">
        <v>400</v>
      </c>
      <c r="AH16" s="8">
        <v>-3.4</v>
      </c>
      <c r="AI16" s="8"/>
      <c r="AJ16" s="9"/>
      <c r="AK16" s="54">
        <f t="shared" si="1"/>
        <v>396.6</v>
      </c>
      <c r="AL16" s="11"/>
      <c r="AM1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6" s="118">
        <f>IF(DONNEES[[#This Row],[DATE
PAIEMT]]="",0,DONNEES[[#This Row],[DATE
PAIEMT]])</f>
        <v>44559</v>
      </c>
    </row>
    <row r="17" spans="1:40" x14ac:dyDescent="0.25">
      <c r="A17" s="97">
        <f>DONNEES[[#This Row],[AM]]</f>
        <v>44558</v>
      </c>
      <c r="B17" s="95">
        <f>WEEKDAY(DONNEES[[#This Row],[JOUR]],2)</f>
        <v>2</v>
      </c>
      <c r="C17" s="99">
        <f>_xlfn.ISOWEEKNUM(DONNEES[[#This Row],[AM]]-1)</f>
        <v>52</v>
      </c>
      <c r="D17" s="92">
        <v>44558</v>
      </c>
      <c r="E17" s="93">
        <f>DONNEES[[#This Row],[AM]]+1</f>
        <v>44559</v>
      </c>
      <c r="F17" s="14" t="s">
        <v>37</v>
      </c>
      <c r="G17" s="85">
        <v>14</v>
      </c>
      <c r="H17" s="13">
        <v>2</v>
      </c>
      <c r="I17" s="103" t="s">
        <v>68</v>
      </c>
      <c r="J17" s="14" t="s">
        <v>21</v>
      </c>
      <c r="K17" s="15">
        <v>170</v>
      </c>
      <c r="L17" s="16"/>
      <c r="M17" s="16"/>
      <c r="N17" s="17"/>
      <c r="O17" s="11">
        <v>170.9</v>
      </c>
      <c r="P17" s="8"/>
      <c r="Q17" s="8"/>
      <c r="R17" s="8"/>
      <c r="S17" s="8"/>
      <c r="T17" s="8"/>
      <c r="U17" s="8"/>
      <c r="V17" s="8"/>
      <c r="W17" s="9">
        <v>0.9</v>
      </c>
      <c r="X17" s="7"/>
      <c r="Y17" s="9"/>
      <c r="Z17" s="6">
        <f>IF(SUM(O17:W17)=0,IF(DONNEES[[#This Row],[ACPTE RECU]]-DONNEES[[#This Row],[ACPTE RENDU]]=0,"",DONNEES[[#This Row],[ACPTE RECU]]-DONNEES[[#This Row],[ACPTE RENDU]]),SUM(O17:W17)+DONNEES[[#This Row],[ACPTE RECU]]-DONNEES[[#This Row],[ACPTE RENDU]])</f>
        <v>171.8</v>
      </c>
      <c r="AA17" s="77">
        <f>IF(DONNEES[[#This Row],[DEP
REC]]="D",DONNEES[[#This Row],[DEPART]],"")</f>
        <v>44559</v>
      </c>
      <c r="AB17" s="7"/>
      <c r="AC17" s="58">
        <v>171.8</v>
      </c>
      <c r="AD17" s="8"/>
      <c r="AE17" s="8"/>
      <c r="AF17" s="8"/>
      <c r="AG17" s="8"/>
      <c r="AH17" s="8"/>
      <c r="AI17" s="8"/>
      <c r="AJ17" s="9"/>
      <c r="AK17" s="54">
        <f t="shared" si="1"/>
        <v>171.8</v>
      </c>
      <c r="AL17" s="11"/>
      <c r="AM1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7" s="118">
        <f>IF(DONNEES[[#This Row],[DATE
PAIEMT]]="",0,DONNEES[[#This Row],[DATE
PAIEMT]])</f>
        <v>44559</v>
      </c>
    </row>
    <row r="18" spans="1:40" x14ac:dyDescent="0.25">
      <c r="A18" s="97">
        <f>DONNEES[[#This Row],[AM]]</f>
        <v>44558</v>
      </c>
      <c r="B18" s="95">
        <f>WEEKDAY(DONNEES[[#This Row],[JOUR]],2)</f>
        <v>2</v>
      </c>
      <c r="C18" s="99">
        <f>_xlfn.ISOWEEKNUM(DONNEES[[#This Row],[AM]]-1)</f>
        <v>52</v>
      </c>
      <c r="D18" s="92">
        <v>44558</v>
      </c>
      <c r="E18" s="93">
        <f>DONNEES[[#This Row],[AM]]+1</f>
        <v>44559</v>
      </c>
      <c r="F18" s="14" t="s">
        <v>37</v>
      </c>
      <c r="G18" s="85">
        <v>15</v>
      </c>
      <c r="H18" s="13">
        <v>3</v>
      </c>
      <c r="I18" s="103" t="s">
        <v>69</v>
      </c>
      <c r="J18" s="14" t="s">
        <v>39</v>
      </c>
      <c r="K18" s="15">
        <v>259.2</v>
      </c>
      <c r="L18" s="16"/>
      <c r="M18" s="16">
        <v>1</v>
      </c>
      <c r="N18" s="17"/>
      <c r="O18" s="11">
        <f>259.2+1.8</f>
        <v>261</v>
      </c>
      <c r="P18" s="8"/>
      <c r="Q18" s="8"/>
      <c r="R18" s="8"/>
      <c r="S18" s="8"/>
      <c r="T18" s="8">
        <v>13</v>
      </c>
      <c r="U18" s="8"/>
      <c r="V18" s="8"/>
      <c r="W18" s="9">
        <v>0.9</v>
      </c>
      <c r="X18" s="7"/>
      <c r="Y18" s="9"/>
      <c r="Z18" s="6">
        <f>IF(SUM(O18:W18)=0,IF(DONNEES[[#This Row],[ACPTE RECU]]-DONNEES[[#This Row],[ACPTE RENDU]]=0,"",DONNEES[[#This Row],[ACPTE RECU]]-DONNEES[[#This Row],[ACPTE RENDU]]),SUM(O18:W18)+DONNEES[[#This Row],[ACPTE RECU]]-DONNEES[[#This Row],[ACPTE RENDU]])</f>
        <v>274.89999999999998</v>
      </c>
      <c r="AA18" s="77">
        <f>IF(DONNEES[[#This Row],[DEP
REC]]="D",DONNEES[[#This Row],[DEPART]],"")</f>
        <v>44559</v>
      </c>
      <c r="AB18" s="59">
        <v>274.89999999999998</v>
      </c>
      <c r="AC18" s="8"/>
      <c r="AD18" s="8"/>
      <c r="AE18" s="8"/>
      <c r="AF18" s="8"/>
      <c r="AG18" s="8"/>
      <c r="AH18" s="8"/>
      <c r="AI18" s="8"/>
      <c r="AJ18" s="9"/>
      <c r="AK18" s="54">
        <f t="shared" si="1"/>
        <v>274.89999999999998</v>
      </c>
      <c r="AL18" s="11"/>
      <c r="AM1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8" s="118">
        <f>IF(DONNEES[[#This Row],[DATE
PAIEMT]]="",0,DONNEES[[#This Row],[DATE
PAIEMT]])</f>
        <v>44559</v>
      </c>
    </row>
    <row r="19" spans="1:40" x14ac:dyDescent="0.25">
      <c r="A19" s="97">
        <f>DONNEES[[#This Row],[AM]]</f>
        <v>44558</v>
      </c>
      <c r="B19" s="95">
        <f>WEEKDAY(DONNEES[[#This Row],[JOUR]],2)</f>
        <v>2</v>
      </c>
      <c r="C19" s="99">
        <f>_xlfn.ISOWEEKNUM(DONNEES[[#This Row],[AM]]-1)</f>
        <v>52</v>
      </c>
      <c r="D19" s="92">
        <v>44558</v>
      </c>
      <c r="E19" s="93">
        <f>DONNEES[[#This Row],[AM]]+1</f>
        <v>44559</v>
      </c>
      <c r="F19" s="14" t="s">
        <v>37</v>
      </c>
      <c r="G19" s="85">
        <v>16</v>
      </c>
      <c r="H19" s="13">
        <v>2</v>
      </c>
      <c r="I19" s="103" t="s">
        <v>64</v>
      </c>
      <c r="J19" s="14" t="s">
        <v>39</v>
      </c>
      <c r="K19" s="15">
        <v>208.8</v>
      </c>
      <c r="L19" s="16">
        <v>2</v>
      </c>
      <c r="M19" s="16"/>
      <c r="N19" s="17">
        <v>72</v>
      </c>
      <c r="O19" s="11">
        <f>193.5+208.8+1.8+26</f>
        <v>430.1</v>
      </c>
      <c r="P19" s="8">
        <v>48</v>
      </c>
      <c r="Q19" s="8">
        <v>12</v>
      </c>
      <c r="R19" s="8">
        <v>60</v>
      </c>
      <c r="S19" s="8"/>
      <c r="T19" s="8"/>
      <c r="U19" s="8"/>
      <c r="V19" s="8"/>
      <c r="W19" s="9">
        <v>1.8</v>
      </c>
      <c r="X19" s="7"/>
      <c r="Y19" s="9"/>
      <c r="Z19" s="6">
        <f>IF(SUM(O19:W19)=0,IF(DONNEES[[#This Row],[ACPTE RECU]]-DONNEES[[#This Row],[ACPTE RENDU]]=0,"",DONNEES[[#This Row],[ACPTE RECU]]-DONNEES[[#This Row],[ACPTE RENDU]]),SUM(O19:W19)+DONNEES[[#This Row],[ACPTE RECU]]-DONNEES[[#This Row],[ACPTE RENDU]])</f>
        <v>551.9</v>
      </c>
      <c r="AA19" s="77">
        <f>IF(DONNEES[[#This Row],[DEP
REC]]="D",DONNEES[[#This Row],[DEPART]],"")</f>
        <v>44559</v>
      </c>
      <c r="AB19" s="7"/>
      <c r="AC19" s="58">
        <v>551.9</v>
      </c>
      <c r="AD19" s="8"/>
      <c r="AE19" s="8"/>
      <c r="AF19" s="8"/>
      <c r="AG19" s="8"/>
      <c r="AH19" s="8"/>
      <c r="AI19" s="8"/>
      <c r="AJ19" s="9"/>
      <c r="AK19" s="54">
        <f t="shared" si="1"/>
        <v>551.9</v>
      </c>
      <c r="AL19" s="11"/>
      <c r="AM1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9" s="118">
        <f>IF(DONNEES[[#This Row],[DATE
PAIEMT]]="",0,DONNEES[[#This Row],[DATE
PAIEMT]])</f>
        <v>44559</v>
      </c>
    </row>
    <row r="20" spans="1:40" x14ac:dyDescent="0.25">
      <c r="A20" s="97">
        <f>DONNEES[[#This Row],[AM]]</f>
        <v>44558</v>
      </c>
      <c r="B20" s="95">
        <f>WEEKDAY(DONNEES[[#This Row],[JOUR]],2)</f>
        <v>2</v>
      </c>
      <c r="C20" s="99">
        <f>_xlfn.ISOWEEKNUM(DONNEES[[#This Row],[AM]]-1)</f>
        <v>52</v>
      </c>
      <c r="D20" s="92">
        <v>44558</v>
      </c>
      <c r="E20" s="93">
        <f>DONNEES[[#This Row],[AM]]+1</f>
        <v>44559</v>
      </c>
      <c r="F20" s="14" t="s">
        <v>38</v>
      </c>
      <c r="G20" s="85">
        <v>27</v>
      </c>
      <c r="H20" s="13">
        <v>2</v>
      </c>
      <c r="I20" s="103" t="s">
        <v>67</v>
      </c>
      <c r="J20" s="14" t="s">
        <v>21</v>
      </c>
      <c r="K20" s="15">
        <v>145</v>
      </c>
      <c r="L20" s="16"/>
      <c r="M20" s="16"/>
      <c r="N20" s="17"/>
      <c r="O20" s="11"/>
      <c r="P20" s="8"/>
      <c r="Q20" s="8"/>
      <c r="R20" s="8"/>
      <c r="S20" s="8"/>
      <c r="T20" s="8"/>
      <c r="U20" s="8"/>
      <c r="V20" s="8"/>
      <c r="W20" s="9"/>
      <c r="X20" s="7"/>
      <c r="Y20" s="9"/>
      <c r="Z20" s="6" t="str">
        <f>IF(SUM(O20:W20)=0,IF(DONNEES[[#This Row],[ACPTE RECU]]-DONNEES[[#This Row],[ACPTE RENDU]]=0,"",DONNEES[[#This Row],[ACPTE RECU]]-DONNEES[[#This Row],[ACPTE RENDU]]),SUM(O20:W20)+DONNEES[[#This Row],[ACPTE RECU]]-DONNEES[[#This Row],[ACPTE RENDU]])</f>
        <v/>
      </c>
      <c r="AA20" s="77" t="str">
        <f>IF(DONNEES[[#This Row],[DEP
REC]]="D",DONNEES[[#This Row],[DEPART]],"")</f>
        <v/>
      </c>
      <c r="AB20" s="7"/>
      <c r="AC20" s="8"/>
      <c r="AD20" s="8"/>
      <c r="AE20" s="8"/>
      <c r="AF20" s="8"/>
      <c r="AG20" s="8"/>
      <c r="AH20" s="8"/>
      <c r="AI20" s="8"/>
      <c r="AJ20" s="9"/>
      <c r="AK20" s="54" t="str">
        <f t="shared" si="1"/>
        <v/>
      </c>
      <c r="AL20" s="11"/>
      <c r="AM2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0" s="118">
        <f>IF(DONNEES[[#This Row],[DATE
PAIEMT]]="",0,DONNEES[[#This Row],[DATE
PAIEMT]])</f>
        <v>0</v>
      </c>
    </row>
    <row r="21" spans="1:40" x14ac:dyDescent="0.25">
      <c r="A21" s="97">
        <f>DONNEES[[#This Row],[AM]]</f>
        <v>44558</v>
      </c>
      <c r="B21" s="95">
        <f>WEEKDAY(DONNEES[[#This Row],[JOUR]],2)</f>
        <v>2</v>
      </c>
      <c r="C21" s="99">
        <f>_xlfn.ISOWEEKNUM(DONNEES[[#This Row],[AM]]-1)</f>
        <v>52</v>
      </c>
      <c r="D21" s="92">
        <v>44558</v>
      </c>
      <c r="E21" s="93">
        <f>DONNEES[[#This Row],[AM]]+1</f>
        <v>44559</v>
      </c>
      <c r="F21" s="14" t="s">
        <v>38</v>
      </c>
      <c r="G21" s="85">
        <v>5</v>
      </c>
      <c r="H21" s="13">
        <v>2</v>
      </c>
      <c r="I21" s="103" t="s">
        <v>57</v>
      </c>
      <c r="J21" s="14" t="s">
        <v>39</v>
      </c>
      <c r="K21" s="15">
        <v>188.1</v>
      </c>
      <c r="L21" s="16">
        <v>2</v>
      </c>
      <c r="M21" s="16"/>
      <c r="N21" s="17">
        <v>16</v>
      </c>
      <c r="O21" s="11"/>
      <c r="P21" s="8"/>
      <c r="Q21" s="8"/>
      <c r="R21" s="8"/>
      <c r="S21" s="8"/>
      <c r="T21" s="8"/>
      <c r="U21" s="8"/>
      <c r="V21" s="8"/>
      <c r="W21" s="9"/>
      <c r="X21" s="7"/>
      <c r="Y21" s="9"/>
      <c r="Z21" s="6" t="str">
        <f>IF(SUM(O21:W21)=0,IF(DONNEES[[#This Row],[ACPTE RECU]]-DONNEES[[#This Row],[ACPTE RENDU]]=0,"",DONNEES[[#This Row],[ACPTE RECU]]-DONNEES[[#This Row],[ACPTE RENDU]]),SUM(O21:W21)+DONNEES[[#This Row],[ACPTE RECU]]-DONNEES[[#This Row],[ACPTE RENDU]])</f>
        <v/>
      </c>
      <c r="AA21" s="77" t="str">
        <f>IF(DONNEES[[#This Row],[DEP
REC]]="D",DONNEES[[#This Row],[DEPART]],"")</f>
        <v/>
      </c>
      <c r="AB21" s="7"/>
      <c r="AC21" s="8"/>
      <c r="AD21" s="8"/>
      <c r="AE21" s="8"/>
      <c r="AF21" s="8"/>
      <c r="AG21" s="8"/>
      <c r="AH21" s="8"/>
      <c r="AI21" s="8"/>
      <c r="AJ21" s="9"/>
      <c r="AK21" s="54" t="str">
        <f t="shared" si="1"/>
        <v/>
      </c>
      <c r="AL21" s="11"/>
      <c r="AM2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1" s="118">
        <f>IF(DONNEES[[#This Row],[DATE
PAIEMT]]="",0,DONNEES[[#This Row],[DATE
PAIEMT]])</f>
        <v>0</v>
      </c>
    </row>
    <row r="22" spans="1:40" x14ac:dyDescent="0.25">
      <c r="A22" s="97">
        <f>DONNEES[[#This Row],[AM]]</f>
        <v>44558</v>
      </c>
      <c r="B22" s="95">
        <f>WEEKDAY(DONNEES[[#This Row],[JOUR]],2)</f>
        <v>2</v>
      </c>
      <c r="C22" s="99">
        <f>_xlfn.ISOWEEKNUM(DONNEES[[#This Row],[AM]]-1)</f>
        <v>52</v>
      </c>
      <c r="D22" s="92">
        <v>44558</v>
      </c>
      <c r="E22" s="93">
        <f>DONNEES[[#This Row],[AM]]+1</f>
        <v>44559</v>
      </c>
      <c r="F22" s="14" t="s">
        <v>38</v>
      </c>
      <c r="G22" s="85">
        <v>20</v>
      </c>
      <c r="H22" s="13">
        <v>2</v>
      </c>
      <c r="I22" s="103" t="s">
        <v>59</v>
      </c>
      <c r="J22" s="14" t="s">
        <v>21</v>
      </c>
      <c r="K22" s="15">
        <v>213</v>
      </c>
      <c r="L22" s="16">
        <v>2</v>
      </c>
      <c r="M22" s="16">
        <v>1</v>
      </c>
      <c r="N22" s="17"/>
      <c r="O22" s="11"/>
      <c r="P22" s="8"/>
      <c r="Q22" s="8"/>
      <c r="R22" s="8"/>
      <c r="S22" s="8"/>
      <c r="T22" s="8"/>
      <c r="U22" s="8"/>
      <c r="V22" s="8"/>
      <c r="W22" s="9"/>
      <c r="X22" s="7"/>
      <c r="Y22" s="9"/>
      <c r="Z22" s="6" t="str">
        <f>IF(SUM(O22:W22)=0,IF(DONNEES[[#This Row],[ACPTE RECU]]-DONNEES[[#This Row],[ACPTE RENDU]]=0,"",DONNEES[[#This Row],[ACPTE RECU]]-DONNEES[[#This Row],[ACPTE RENDU]]),SUM(O22:W22)+DONNEES[[#This Row],[ACPTE RECU]]-DONNEES[[#This Row],[ACPTE RENDU]])</f>
        <v/>
      </c>
      <c r="AA22" s="77" t="str">
        <f>IF(DONNEES[[#This Row],[DEP
REC]]="D",DONNEES[[#This Row],[DEPART]],"")</f>
        <v/>
      </c>
      <c r="AB22" s="7"/>
      <c r="AC22" s="8"/>
      <c r="AD22" s="8"/>
      <c r="AE22" s="8"/>
      <c r="AF22" s="8"/>
      <c r="AG22" s="8"/>
      <c r="AH22" s="8"/>
      <c r="AI22" s="8"/>
      <c r="AJ22" s="9"/>
      <c r="AK22" s="54" t="str">
        <f t="shared" si="1"/>
        <v/>
      </c>
      <c r="AL22" s="11"/>
      <c r="AM2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2" s="118">
        <f>IF(DONNEES[[#This Row],[DATE
PAIEMT]]="",0,DONNEES[[#This Row],[DATE
PAIEMT]])</f>
        <v>0</v>
      </c>
    </row>
    <row r="23" spans="1:40" x14ac:dyDescent="0.25">
      <c r="A23" s="97">
        <f>DONNEES[[#This Row],[AM]]</f>
        <v>44558</v>
      </c>
      <c r="B23" s="95">
        <f>WEEKDAY(DONNEES[[#This Row],[JOUR]],2)</f>
        <v>2</v>
      </c>
      <c r="C23" s="99">
        <f>_xlfn.ISOWEEKNUM(DONNEES[[#This Row],[AM]]-1)</f>
        <v>52</v>
      </c>
      <c r="D23" s="92">
        <v>44558</v>
      </c>
      <c r="E23" s="93">
        <f>DONNEES[[#This Row],[AM]]+1</f>
        <v>44559</v>
      </c>
      <c r="F23" s="14" t="s">
        <v>38</v>
      </c>
      <c r="G23" s="85">
        <v>21</v>
      </c>
      <c r="H23" s="13">
        <v>1</v>
      </c>
      <c r="I23" s="103" t="s">
        <v>60</v>
      </c>
      <c r="J23" s="14" t="s">
        <v>21</v>
      </c>
      <c r="K23" s="15">
        <v>213</v>
      </c>
      <c r="L23" s="16">
        <v>1</v>
      </c>
      <c r="M23" s="16"/>
      <c r="N23" s="17"/>
      <c r="O23" s="11"/>
      <c r="P23" s="8"/>
      <c r="Q23" s="8"/>
      <c r="R23" s="8"/>
      <c r="S23" s="8"/>
      <c r="T23" s="8"/>
      <c r="U23" s="8"/>
      <c r="V23" s="8"/>
      <c r="W23" s="9"/>
      <c r="X23" s="7"/>
      <c r="Y23" s="9"/>
      <c r="Z23" s="6" t="str">
        <f>IF(SUM(O23:W23)=0,IF(DONNEES[[#This Row],[ACPTE RECU]]-DONNEES[[#This Row],[ACPTE RENDU]]=0,"",DONNEES[[#This Row],[ACPTE RECU]]-DONNEES[[#This Row],[ACPTE RENDU]]),SUM(O23:W23)+DONNEES[[#This Row],[ACPTE RECU]]-DONNEES[[#This Row],[ACPTE RENDU]])</f>
        <v/>
      </c>
      <c r="AA23" s="77" t="str">
        <f>IF(DONNEES[[#This Row],[DEP
REC]]="D",DONNEES[[#This Row],[DEPART]],"")</f>
        <v/>
      </c>
      <c r="AB23" s="7"/>
      <c r="AC23" s="8"/>
      <c r="AD23" s="8"/>
      <c r="AE23" s="8"/>
      <c r="AF23" s="8"/>
      <c r="AG23" s="8"/>
      <c r="AH23" s="8"/>
      <c r="AI23" s="8"/>
      <c r="AJ23" s="9"/>
      <c r="AK23" s="54" t="str">
        <f t="shared" si="1"/>
        <v/>
      </c>
      <c r="AL23" s="11"/>
      <c r="AM2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3" s="118">
        <f>IF(DONNEES[[#This Row],[DATE
PAIEMT]]="",0,DONNEES[[#This Row],[DATE
PAIEMT]])</f>
        <v>0</v>
      </c>
    </row>
    <row r="24" spans="1:40" x14ac:dyDescent="0.25">
      <c r="A24" s="97">
        <f>DONNEES[[#This Row],[AM]]</f>
        <v>44558</v>
      </c>
      <c r="B24" s="95">
        <f>WEEKDAY(DONNEES[[#This Row],[JOUR]],2)</f>
        <v>2</v>
      </c>
      <c r="C24" s="99">
        <f>_xlfn.ISOWEEKNUM(DONNEES[[#This Row],[AM]]-1)</f>
        <v>52</v>
      </c>
      <c r="D24" s="92">
        <v>44558</v>
      </c>
      <c r="E24" s="93">
        <f>DONNEES[[#This Row],[AM]]+1</f>
        <v>44559</v>
      </c>
      <c r="F24" s="14" t="s">
        <v>38</v>
      </c>
      <c r="G24" s="85">
        <v>22</v>
      </c>
      <c r="H24" s="13">
        <v>2</v>
      </c>
      <c r="I24" s="103" t="s">
        <v>61</v>
      </c>
      <c r="J24" s="14" t="s">
        <v>21</v>
      </c>
      <c r="K24" s="15">
        <v>213</v>
      </c>
      <c r="L24" s="16">
        <v>2</v>
      </c>
      <c r="M24" s="16"/>
      <c r="N24" s="17"/>
      <c r="O24" s="11"/>
      <c r="P24" s="8"/>
      <c r="Q24" s="8"/>
      <c r="R24" s="8"/>
      <c r="S24" s="8"/>
      <c r="T24" s="8"/>
      <c r="U24" s="8"/>
      <c r="V24" s="8"/>
      <c r="W24" s="9"/>
      <c r="X24" s="7"/>
      <c r="Y24" s="9"/>
      <c r="Z24" s="6" t="str">
        <f>IF(SUM(O24:W24)=0,IF(DONNEES[[#This Row],[ACPTE RECU]]-DONNEES[[#This Row],[ACPTE RENDU]]=0,"",DONNEES[[#This Row],[ACPTE RECU]]-DONNEES[[#This Row],[ACPTE RENDU]]),SUM(O24:W24)+DONNEES[[#This Row],[ACPTE RECU]]-DONNEES[[#This Row],[ACPTE RENDU]])</f>
        <v/>
      </c>
      <c r="AA24" s="77" t="str">
        <f>IF(DONNEES[[#This Row],[DEP
REC]]="D",DONNEES[[#This Row],[DEPART]],"")</f>
        <v/>
      </c>
      <c r="AB24" s="7"/>
      <c r="AC24" s="8"/>
      <c r="AD24" s="8"/>
      <c r="AE24" s="8"/>
      <c r="AF24" s="8"/>
      <c r="AG24" s="8"/>
      <c r="AH24" s="8"/>
      <c r="AI24" s="8"/>
      <c r="AJ24" s="9"/>
      <c r="AK24" s="54" t="str">
        <f t="shared" si="1"/>
        <v/>
      </c>
      <c r="AL24" s="11"/>
      <c r="AM2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4" s="118">
        <f>IF(DONNEES[[#This Row],[DATE
PAIEMT]]="",0,DONNEES[[#This Row],[DATE
PAIEMT]])</f>
        <v>0</v>
      </c>
    </row>
    <row r="25" spans="1:40" x14ac:dyDescent="0.25">
      <c r="A25" s="97">
        <f>DONNEES[[#This Row],[AM]]</f>
        <v>44558</v>
      </c>
      <c r="B25" s="95">
        <f>WEEKDAY(DONNEES[[#This Row],[JOUR]],2)</f>
        <v>2</v>
      </c>
      <c r="C25" s="99">
        <f>_xlfn.ISOWEEKNUM(DONNEES[[#This Row],[AM]]-1)</f>
        <v>52</v>
      </c>
      <c r="D25" s="92">
        <v>44558</v>
      </c>
      <c r="E25" s="93">
        <f>DONNEES[[#This Row],[AM]]+1</f>
        <v>44559</v>
      </c>
      <c r="F25" s="14" t="s">
        <v>38</v>
      </c>
      <c r="G25" s="85">
        <v>6</v>
      </c>
      <c r="H25" s="13">
        <v>2</v>
      </c>
      <c r="I25" s="103" t="s">
        <v>63</v>
      </c>
      <c r="J25" s="14" t="s">
        <v>21</v>
      </c>
      <c r="K25" s="15">
        <v>220</v>
      </c>
      <c r="L25" s="16">
        <v>2</v>
      </c>
      <c r="M25" s="16">
        <v>1</v>
      </c>
      <c r="N25" s="17"/>
      <c r="O25" s="11"/>
      <c r="P25" s="8"/>
      <c r="Q25" s="8"/>
      <c r="R25" s="8"/>
      <c r="S25" s="8"/>
      <c r="T25" s="8"/>
      <c r="U25" s="8"/>
      <c r="V25" s="8"/>
      <c r="W25" s="9"/>
      <c r="X25" s="7"/>
      <c r="Y25" s="9"/>
      <c r="Z25" s="6" t="str">
        <f>IF(SUM(O25:W25)=0,IF(DONNEES[[#This Row],[ACPTE RECU]]-DONNEES[[#This Row],[ACPTE RENDU]]=0,"",DONNEES[[#This Row],[ACPTE RECU]]-DONNEES[[#This Row],[ACPTE RENDU]]),SUM(O25:W25)+DONNEES[[#This Row],[ACPTE RECU]]-DONNEES[[#This Row],[ACPTE RENDU]])</f>
        <v/>
      </c>
      <c r="AA25" s="77" t="str">
        <f>IF(DONNEES[[#This Row],[DEP
REC]]="D",DONNEES[[#This Row],[DEPART]],"")</f>
        <v/>
      </c>
      <c r="AB25" s="7"/>
      <c r="AC25" s="8"/>
      <c r="AD25" s="8"/>
      <c r="AE25" s="8"/>
      <c r="AF25" s="8"/>
      <c r="AG25" s="8"/>
      <c r="AH25" s="8"/>
      <c r="AI25" s="8"/>
      <c r="AJ25" s="9"/>
      <c r="AK25" s="54" t="str">
        <f t="shared" si="1"/>
        <v/>
      </c>
      <c r="AL25" s="11"/>
      <c r="AM2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5" s="118">
        <f>IF(DONNEES[[#This Row],[DATE
PAIEMT]]="",0,DONNEES[[#This Row],[DATE
PAIEMT]])</f>
        <v>0</v>
      </c>
    </row>
    <row r="26" spans="1:40" x14ac:dyDescent="0.25">
      <c r="A26" s="97">
        <f>DONNEES[[#This Row],[AM]]</f>
        <v>44891</v>
      </c>
      <c r="B26" s="95">
        <f>WEEKDAY(DONNEES[[#This Row],[JOUR]],2)</f>
        <v>6</v>
      </c>
      <c r="C26" s="99">
        <f>_xlfn.ISOWEEKNUM(DONNEES[[#This Row],[AM]]-1)</f>
        <v>47</v>
      </c>
      <c r="D26" s="92">
        <v>44891</v>
      </c>
      <c r="E26" s="93">
        <f>DONNEES[[#This Row],[AM]]+1</f>
        <v>44892</v>
      </c>
      <c r="F26" s="14" t="s">
        <v>37</v>
      </c>
      <c r="G26" s="85">
        <v>27</v>
      </c>
      <c r="H26" s="13">
        <v>2</v>
      </c>
      <c r="I26" s="103" t="s">
        <v>51</v>
      </c>
      <c r="J26" s="14" t="s">
        <v>39</v>
      </c>
      <c r="K26" s="15">
        <v>132.30000000000001</v>
      </c>
      <c r="L26" s="16">
        <v>2</v>
      </c>
      <c r="M26" s="16"/>
      <c r="N26" s="17"/>
      <c r="O26" s="11">
        <v>133.5</v>
      </c>
      <c r="P26" s="8">
        <v>24</v>
      </c>
      <c r="Q26" s="8"/>
      <c r="R26" s="8"/>
      <c r="S26" s="8"/>
      <c r="T26" s="8"/>
      <c r="U26" s="8"/>
      <c r="V26" s="8"/>
      <c r="W26" s="9">
        <v>0.9</v>
      </c>
      <c r="X26" s="7"/>
      <c r="Y26" s="9"/>
      <c r="Z26" s="6">
        <f>IF(SUM(O26:W26)=0,IF(DONNEES[[#This Row],[ACPTE RECU]]-DONNEES[[#This Row],[ACPTE RENDU]]=0,"",DONNEES[[#This Row],[ACPTE RECU]]-DONNEES[[#This Row],[ACPTE RENDU]]),SUM(O26:W26)+DONNEES[[#This Row],[ACPTE RECU]]-DONNEES[[#This Row],[ACPTE RENDU]])</f>
        <v>158.4</v>
      </c>
      <c r="AA26" s="12">
        <v>44891</v>
      </c>
      <c r="AB26" s="79">
        <v>158.4</v>
      </c>
      <c r="AC26" s="8"/>
      <c r="AD26" s="8"/>
      <c r="AE26" s="8"/>
      <c r="AF26" s="8"/>
      <c r="AG26" s="8"/>
      <c r="AH26" s="8"/>
      <c r="AI26" s="8"/>
      <c r="AJ26" s="9"/>
      <c r="AK26" s="54">
        <f t="shared" ref="AK26:AK43" si="2">IF(SUM(AB26:AJ26)=0,"",SUM(AB26:AJ26))</f>
        <v>158.4</v>
      </c>
      <c r="AL26" s="11"/>
      <c r="AM2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6" s="119">
        <f>IF(DONNEES[[#This Row],[DATE
PAIEMT]]="",0,DONNEES[[#This Row],[DATE
PAIEMT]])</f>
        <v>44891</v>
      </c>
    </row>
    <row r="27" spans="1:40" x14ac:dyDescent="0.25">
      <c r="A27" s="97">
        <f>DONNEES[[#This Row],[AM]]</f>
        <v>44891</v>
      </c>
      <c r="B27" s="95">
        <f>WEEKDAY(DONNEES[[#This Row],[JOUR]],2)</f>
        <v>6</v>
      </c>
      <c r="C27" s="99">
        <f>_xlfn.ISOWEEKNUM(DONNEES[[#This Row],[AM]]-1)</f>
        <v>47</v>
      </c>
      <c r="D27" s="92">
        <v>44891</v>
      </c>
      <c r="E27" s="93">
        <f>DONNEES[[#This Row],[AM]]+1</f>
        <v>44892</v>
      </c>
      <c r="F27" s="14" t="s">
        <v>37</v>
      </c>
      <c r="G27" s="85">
        <v>6</v>
      </c>
      <c r="H27" s="13">
        <v>3</v>
      </c>
      <c r="I27" s="103" t="s">
        <v>110</v>
      </c>
      <c r="J27" s="14" t="s">
        <v>39</v>
      </c>
      <c r="K27" s="15">
        <v>260</v>
      </c>
      <c r="L27" s="16"/>
      <c r="M27" s="16"/>
      <c r="N27" s="17"/>
      <c r="O27" s="11">
        <v>261.8</v>
      </c>
      <c r="P27" s="8"/>
      <c r="Q27" s="8"/>
      <c r="R27" s="8"/>
      <c r="S27" s="8"/>
      <c r="T27" s="8"/>
      <c r="U27" s="8"/>
      <c r="V27" s="8"/>
      <c r="W27" s="9">
        <v>0.9</v>
      </c>
      <c r="X27" s="7"/>
      <c r="Y27" s="9"/>
      <c r="Z27" s="6">
        <f>IF(SUM(O27:W27)=0,IF(DONNEES[[#This Row],[ACPTE RECU]]-DONNEES[[#This Row],[ACPTE RENDU]]=0,"",DONNEES[[#This Row],[ACPTE RECU]]-DONNEES[[#This Row],[ACPTE RENDU]]),SUM(O27:W27)+DONNEES[[#This Row],[ACPTE RECU]]-DONNEES[[#This Row],[ACPTE RENDU]])</f>
        <v>262.7</v>
      </c>
      <c r="AA27" s="12">
        <v>44891</v>
      </c>
      <c r="AB27" s="79">
        <v>262.7</v>
      </c>
      <c r="AC27" s="8"/>
      <c r="AD27" s="8"/>
      <c r="AE27" s="8"/>
      <c r="AF27" s="8"/>
      <c r="AG27" s="8"/>
      <c r="AH27" s="8"/>
      <c r="AI27" s="8"/>
      <c r="AJ27" s="9"/>
      <c r="AK27" s="54">
        <f t="shared" si="2"/>
        <v>262.7</v>
      </c>
      <c r="AL27" s="11"/>
      <c r="AM2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7" s="119">
        <f>IF(DONNEES[[#This Row],[DATE
PAIEMT]]="",0,DONNEES[[#This Row],[DATE
PAIEMT]])</f>
        <v>44891</v>
      </c>
    </row>
    <row r="28" spans="1:40" x14ac:dyDescent="0.25">
      <c r="A28" s="97">
        <f>DONNEES[[#This Row],[AM]]</f>
        <v>44891</v>
      </c>
      <c r="B28" s="95">
        <f>WEEKDAY(DONNEES[[#This Row],[JOUR]],2)</f>
        <v>6</v>
      </c>
      <c r="C28" s="99">
        <f>_xlfn.ISOWEEKNUM(DONNEES[[#This Row],[AM]]-1)</f>
        <v>47</v>
      </c>
      <c r="D28" s="92">
        <v>44891</v>
      </c>
      <c r="E28" s="93">
        <f>DONNEES[[#This Row],[AM]]+1</f>
        <v>44892</v>
      </c>
      <c r="F28" s="14" t="s">
        <v>37</v>
      </c>
      <c r="G28" s="85">
        <v>14</v>
      </c>
      <c r="H28" s="13">
        <v>2</v>
      </c>
      <c r="I28" s="103" t="s">
        <v>111</v>
      </c>
      <c r="J28" s="14" t="s">
        <v>21</v>
      </c>
      <c r="K28" s="15">
        <v>219</v>
      </c>
      <c r="L28" s="16">
        <v>2</v>
      </c>
      <c r="M28" s="16"/>
      <c r="N28" s="17"/>
      <c r="O28" s="11">
        <v>219.9</v>
      </c>
      <c r="P28" s="8">
        <v>24</v>
      </c>
      <c r="Q28" s="8"/>
      <c r="R28" s="8"/>
      <c r="S28" s="8"/>
      <c r="T28" s="8"/>
      <c r="U28" s="8"/>
      <c r="V28" s="8"/>
      <c r="W28" s="9">
        <v>0.9</v>
      </c>
      <c r="X28" s="7"/>
      <c r="Y28" s="9"/>
      <c r="Z28" s="6">
        <f>IF(SUM(O28:W28)=0,IF(DONNEES[[#This Row],[ACPTE RECU]]-DONNEES[[#This Row],[ACPTE RENDU]]=0,"",DONNEES[[#This Row],[ACPTE RECU]]-DONNEES[[#This Row],[ACPTE RENDU]]),SUM(O28:W28)+DONNEES[[#This Row],[ACPTE RECU]]-DONNEES[[#This Row],[ACPTE RENDU]])</f>
        <v>244.8</v>
      </c>
      <c r="AA28" s="12">
        <v>44891</v>
      </c>
      <c r="AB28" s="79">
        <v>244.8</v>
      </c>
      <c r="AC28" s="8"/>
      <c r="AD28" s="8"/>
      <c r="AE28" s="8"/>
      <c r="AF28" s="8"/>
      <c r="AG28" s="8"/>
      <c r="AH28" s="8"/>
      <c r="AI28" s="8"/>
      <c r="AJ28" s="9"/>
      <c r="AK28" s="54">
        <f t="shared" si="2"/>
        <v>244.8</v>
      </c>
      <c r="AL28" s="11"/>
      <c r="AM2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8" s="119">
        <f>IF(DONNEES[[#This Row],[DATE
PAIEMT]]="",0,DONNEES[[#This Row],[DATE
PAIEMT]])</f>
        <v>44891</v>
      </c>
    </row>
    <row r="29" spans="1:40" x14ac:dyDescent="0.25">
      <c r="A29" s="97">
        <f>DONNEES[[#This Row],[AM]]</f>
        <v>44891</v>
      </c>
      <c r="B29" s="95">
        <f>WEEKDAY(DONNEES[[#This Row],[JOUR]],2)</f>
        <v>6</v>
      </c>
      <c r="C29" s="99">
        <f>_xlfn.ISOWEEKNUM(DONNEES[[#This Row],[AM]]-1)</f>
        <v>47</v>
      </c>
      <c r="D29" s="92">
        <v>44891</v>
      </c>
      <c r="E29" s="93">
        <f>DONNEES[[#This Row],[AM]]+1</f>
        <v>44892</v>
      </c>
      <c r="F29" s="14" t="s">
        <v>37</v>
      </c>
      <c r="G29" s="85">
        <v>5</v>
      </c>
      <c r="H29" s="13">
        <v>2</v>
      </c>
      <c r="I29" s="103" t="s">
        <v>108</v>
      </c>
      <c r="J29" s="14" t="s">
        <v>39</v>
      </c>
      <c r="K29" s="15">
        <v>172.8</v>
      </c>
      <c r="L29" s="16">
        <v>2</v>
      </c>
      <c r="M29" s="16"/>
      <c r="N29" s="17"/>
      <c r="O29" s="11">
        <v>173.7</v>
      </c>
      <c r="P29" s="8">
        <v>24</v>
      </c>
      <c r="Q29" s="8"/>
      <c r="R29" s="8"/>
      <c r="S29" s="8"/>
      <c r="T29" s="8"/>
      <c r="U29" s="8"/>
      <c r="V29" s="8"/>
      <c r="W29" s="9">
        <v>0.9</v>
      </c>
      <c r="X29" s="7"/>
      <c r="Y29" s="9"/>
      <c r="Z29" s="6">
        <f>IF(SUM(O29:W29)=0,IF(DONNEES[[#This Row],[ACPTE RECU]]-DONNEES[[#This Row],[ACPTE RENDU]]=0,"",DONNEES[[#This Row],[ACPTE RECU]]-DONNEES[[#This Row],[ACPTE RENDU]]),SUM(O29:W29)+DONNEES[[#This Row],[ACPTE RECU]]-DONNEES[[#This Row],[ACPTE RENDU]])</f>
        <v>198.6</v>
      </c>
      <c r="AA29" s="12">
        <f>IF(DONNEES[[#This Row],[DEP
REC]]="D",DONNEES[[#This Row],[DEPART]],"")</f>
        <v>44892</v>
      </c>
      <c r="AB29" s="79">
        <v>198.6</v>
      </c>
      <c r="AC29" s="8"/>
      <c r="AD29" s="8"/>
      <c r="AE29" s="8"/>
      <c r="AF29" s="8"/>
      <c r="AG29" s="8"/>
      <c r="AH29" s="8"/>
      <c r="AI29" s="8"/>
      <c r="AJ29" s="9"/>
      <c r="AK29" s="54">
        <f t="shared" si="2"/>
        <v>198.6</v>
      </c>
      <c r="AL29" s="11"/>
      <c r="AM2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29" s="119">
        <f>IF(DONNEES[[#This Row],[DATE
PAIEMT]]="",0,DONNEES[[#This Row],[DATE
PAIEMT]])</f>
        <v>44892</v>
      </c>
    </row>
    <row r="30" spans="1:40" x14ac:dyDescent="0.25">
      <c r="A30" s="97">
        <f>DONNEES[[#This Row],[AM]]</f>
        <v>44891</v>
      </c>
      <c r="B30" s="95">
        <f>WEEKDAY(DONNEES[[#This Row],[JOUR]],2)</f>
        <v>6</v>
      </c>
      <c r="C30" s="99">
        <f>_xlfn.ISOWEEKNUM(DONNEES[[#This Row],[AM]]-1)</f>
        <v>47</v>
      </c>
      <c r="D30" s="92">
        <v>44891</v>
      </c>
      <c r="E30" s="93">
        <f>DONNEES[[#This Row],[AM]]+1</f>
        <v>44892</v>
      </c>
      <c r="F30" s="14" t="s">
        <v>37</v>
      </c>
      <c r="G30" s="85">
        <v>12</v>
      </c>
      <c r="H30" s="13">
        <v>2</v>
      </c>
      <c r="I30" s="103" t="s">
        <v>103</v>
      </c>
      <c r="J30" s="14" t="s">
        <v>21</v>
      </c>
      <c r="K30" s="15">
        <v>145</v>
      </c>
      <c r="L30" s="16"/>
      <c r="M30" s="16"/>
      <c r="N30" s="17">
        <v>8</v>
      </c>
      <c r="O30" s="11">
        <f>145.9*2</f>
        <v>291.8</v>
      </c>
      <c r="P30" s="8"/>
      <c r="Q30" s="8">
        <v>8</v>
      </c>
      <c r="R30" s="8"/>
      <c r="S30" s="8"/>
      <c r="T30" s="8"/>
      <c r="U30" s="8"/>
      <c r="V30" s="8"/>
      <c r="W30" s="9">
        <v>1.8</v>
      </c>
      <c r="X30" s="7"/>
      <c r="Y30" s="9"/>
      <c r="Z30" s="6">
        <f>IF(SUM(O30:W30)=0,IF(DONNEES[[#This Row],[ACPTE RECU]]-DONNEES[[#This Row],[ACPTE RENDU]]=0,"",DONNEES[[#This Row],[ACPTE RECU]]-DONNEES[[#This Row],[ACPTE RENDU]]),SUM(O30:W30)+DONNEES[[#This Row],[ACPTE RECU]]-DONNEES[[#This Row],[ACPTE RENDU]])</f>
        <v>301.60000000000002</v>
      </c>
      <c r="AA30" s="12">
        <f>IF(DONNEES[[#This Row],[DEP
REC]]="D",DONNEES[[#This Row],[DEPART]],"")</f>
        <v>44892</v>
      </c>
      <c r="AB30" s="79">
        <v>301.60000000000002</v>
      </c>
      <c r="AC30" s="8"/>
      <c r="AD30" s="8"/>
      <c r="AE30" s="8"/>
      <c r="AF30" s="8"/>
      <c r="AG30" s="8"/>
      <c r="AH30" s="8"/>
      <c r="AI30" s="8"/>
      <c r="AJ30" s="9"/>
      <c r="AK30" s="54">
        <f t="shared" si="2"/>
        <v>301.60000000000002</v>
      </c>
      <c r="AL30" s="11"/>
      <c r="AM3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0" s="119">
        <f>IF(DONNEES[[#This Row],[DATE
PAIEMT]]="",0,DONNEES[[#This Row],[DATE
PAIEMT]])</f>
        <v>44892</v>
      </c>
    </row>
    <row r="31" spans="1:40" x14ac:dyDescent="0.25">
      <c r="A31" s="97">
        <f>DONNEES[[#This Row],[AM]]</f>
        <v>44891</v>
      </c>
      <c r="B31" s="95">
        <f>WEEKDAY(DONNEES[[#This Row],[JOUR]],2)</f>
        <v>6</v>
      </c>
      <c r="C31" s="99">
        <f>_xlfn.ISOWEEKNUM(DONNEES[[#This Row],[AM]]-1)</f>
        <v>47</v>
      </c>
      <c r="D31" s="92">
        <v>44891</v>
      </c>
      <c r="E31" s="93">
        <f>DONNEES[[#This Row],[AM]]+1</f>
        <v>44892</v>
      </c>
      <c r="F31" s="14" t="s">
        <v>37</v>
      </c>
      <c r="G31" s="85">
        <v>20</v>
      </c>
      <c r="H31" s="13">
        <v>2</v>
      </c>
      <c r="I31" s="103" t="s">
        <v>104</v>
      </c>
      <c r="J31" s="14" t="s">
        <v>39</v>
      </c>
      <c r="K31" s="15">
        <v>147.6</v>
      </c>
      <c r="L31" s="16"/>
      <c r="M31" s="16"/>
      <c r="N31" s="17"/>
      <c r="O31" s="11">
        <f>2*148.5</f>
        <v>297</v>
      </c>
      <c r="P31" s="8">
        <v>24</v>
      </c>
      <c r="Q31" s="8"/>
      <c r="R31" s="8"/>
      <c r="S31" s="8"/>
      <c r="T31" s="8"/>
      <c r="U31" s="8"/>
      <c r="V31" s="8"/>
      <c r="W31" s="9">
        <v>1.8</v>
      </c>
      <c r="X31" s="7"/>
      <c r="Y31" s="9"/>
      <c r="Z31" s="6">
        <f>IF(SUM(O31:W31)=0,IF(DONNEES[[#This Row],[ACPTE RECU]]-DONNEES[[#This Row],[ACPTE RENDU]]=0,"",DONNEES[[#This Row],[ACPTE RECU]]-DONNEES[[#This Row],[ACPTE RENDU]]),SUM(O31:W31)+DONNEES[[#This Row],[ACPTE RECU]]-DONNEES[[#This Row],[ACPTE RENDU]])</f>
        <v>322.8</v>
      </c>
      <c r="AA31" s="12">
        <f>IF(DONNEES[[#This Row],[DEP
REC]]="D",DONNEES[[#This Row],[DEPART]],"")</f>
        <v>44892</v>
      </c>
      <c r="AB31" s="79">
        <v>322.8</v>
      </c>
      <c r="AC31" s="8"/>
      <c r="AD31" s="8"/>
      <c r="AE31" s="8"/>
      <c r="AF31" s="8"/>
      <c r="AG31" s="8"/>
      <c r="AH31" s="8"/>
      <c r="AI31" s="8"/>
      <c r="AJ31" s="9"/>
      <c r="AK31" s="54">
        <f t="shared" si="2"/>
        <v>322.8</v>
      </c>
      <c r="AL31" s="11"/>
      <c r="AM3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1" s="119">
        <f>IF(DONNEES[[#This Row],[DATE
PAIEMT]]="",0,DONNEES[[#This Row],[DATE
PAIEMT]])</f>
        <v>44892</v>
      </c>
    </row>
    <row r="32" spans="1:40" x14ac:dyDescent="0.25">
      <c r="A32" s="97">
        <f>DONNEES[[#This Row],[AM]]</f>
        <v>44891</v>
      </c>
      <c r="B32" s="95">
        <f>WEEKDAY(DONNEES[[#This Row],[JOUR]],2)</f>
        <v>6</v>
      </c>
      <c r="C32" s="99">
        <f>_xlfn.ISOWEEKNUM(DONNEES[[#This Row],[AM]]-1)</f>
        <v>47</v>
      </c>
      <c r="D32" s="92">
        <v>44891</v>
      </c>
      <c r="E32" s="93">
        <f>DONNEES[[#This Row],[AM]]+1</f>
        <v>44892</v>
      </c>
      <c r="F32" s="14" t="s">
        <v>37</v>
      </c>
      <c r="G32" s="85">
        <v>21</v>
      </c>
      <c r="H32" s="13">
        <v>1</v>
      </c>
      <c r="I32" s="103" t="s">
        <v>105</v>
      </c>
      <c r="J32" s="14" t="s">
        <v>21</v>
      </c>
      <c r="K32" s="15">
        <v>155</v>
      </c>
      <c r="L32" s="16"/>
      <c r="M32" s="16"/>
      <c r="N32" s="17"/>
      <c r="O32" s="11">
        <f>155*2</f>
        <v>310</v>
      </c>
      <c r="P32" s="8"/>
      <c r="Q32" s="8"/>
      <c r="R32" s="8"/>
      <c r="S32" s="8"/>
      <c r="T32" s="8"/>
      <c r="U32" s="8"/>
      <c r="V32" s="8"/>
      <c r="W32" s="9">
        <v>1.8</v>
      </c>
      <c r="X32" s="7"/>
      <c r="Y32" s="9"/>
      <c r="Z32" s="6">
        <f>IF(SUM(O32:W32)=0,IF(DONNEES[[#This Row],[ACPTE RECU]]-DONNEES[[#This Row],[ACPTE RENDU]]=0,"",DONNEES[[#This Row],[ACPTE RECU]]-DONNEES[[#This Row],[ACPTE RENDU]]),SUM(O32:W32)+DONNEES[[#This Row],[ACPTE RECU]]-DONNEES[[#This Row],[ACPTE RENDU]])</f>
        <v>311.8</v>
      </c>
      <c r="AA32" s="12">
        <f>IF(DONNEES[[#This Row],[DEP
REC]]="D",DONNEES[[#This Row],[DEPART]],"")</f>
        <v>44892</v>
      </c>
      <c r="AB32" s="79">
        <v>311.8</v>
      </c>
      <c r="AC32" s="8"/>
      <c r="AD32" s="8"/>
      <c r="AE32" s="8"/>
      <c r="AF32" s="8"/>
      <c r="AG32" s="8"/>
      <c r="AH32" s="8"/>
      <c r="AI32" s="8"/>
      <c r="AJ32" s="9"/>
      <c r="AK32" s="54">
        <f t="shared" si="2"/>
        <v>311.8</v>
      </c>
      <c r="AL32" s="11"/>
      <c r="AM3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2" s="119">
        <f>IF(DONNEES[[#This Row],[DATE
PAIEMT]]="",0,DONNEES[[#This Row],[DATE
PAIEMT]])</f>
        <v>44892</v>
      </c>
    </row>
    <row r="33" spans="1:40" x14ac:dyDescent="0.25">
      <c r="A33" s="97">
        <f>DONNEES[[#This Row],[AM]]</f>
        <v>44891</v>
      </c>
      <c r="B33" s="95">
        <f>WEEKDAY(DONNEES[[#This Row],[JOUR]],2)</f>
        <v>6</v>
      </c>
      <c r="C33" s="99">
        <f>_xlfn.ISOWEEKNUM(DONNEES[[#This Row],[AM]]-1)</f>
        <v>47</v>
      </c>
      <c r="D33" s="92">
        <v>44891</v>
      </c>
      <c r="E33" s="93">
        <f>DONNEES[[#This Row],[AM]]+1</f>
        <v>44892</v>
      </c>
      <c r="F33" s="14" t="s">
        <v>37</v>
      </c>
      <c r="G33" s="85">
        <v>22</v>
      </c>
      <c r="H33" s="13">
        <v>1</v>
      </c>
      <c r="I33" s="103" t="s">
        <v>106</v>
      </c>
      <c r="J33" s="14" t="s">
        <v>39</v>
      </c>
      <c r="K33" s="15">
        <v>153</v>
      </c>
      <c r="L33" s="16"/>
      <c r="M33" s="16"/>
      <c r="N33" s="17"/>
      <c r="O33" s="11">
        <f>153*2</f>
        <v>306</v>
      </c>
      <c r="P33" s="8"/>
      <c r="Q33" s="8">
        <v>4</v>
      </c>
      <c r="R33" s="8"/>
      <c r="S33" s="8"/>
      <c r="T33" s="8"/>
      <c r="U33" s="8"/>
      <c r="V33" s="8"/>
      <c r="W33" s="9">
        <v>1.8</v>
      </c>
      <c r="X33" s="7"/>
      <c r="Y33" s="9"/>
      <c r="Z33" s="6">
        <f>IF(SUM(O33:W33)=0,IF(DONNEES[[#This Row],[ACPTE RECU]]-DONNEES[[#This Row],[ACPTE RENDU]]=0,"",DONNEES[[#This Row],[ACPTE RECU]]-DONNEES[[#This Row],[ACPTE RENDU]]),SUM(O33:W33)+DONNEES[[#This Row],[ACPTE RECU]]-DONNEES[[#This Row],[ACPTE RENDU]])</f>
        <v>311.8</v>
      </c>
      <c r="AA33" s="12">
        <f>IF(DONNEES[[#This Row],[DEP
REC]]="D",DONNEES[[#This Row],[DEPART]],"")</f>
        <v>44892</v>
      </c>
      <c r="AB33" s="79">
        <v>311.8</v>
      </c>
      <c r="AC33" s="8"/>
      <c r="AD33" s="8"/>
      <c r="AE33" s="8"/>
      <c r="AF33" s="8"/>
      <c r="AG33" s="8"/>
      <c r="AH33" s="8"/>
      <c r="AI33" s="8"/>
      <c r="AJ33" s="9"/>
      <c r="AK33" s="54">
        <f t="shared" si="2"/>
        <v>311.8</v>
      </c>
      <c r="AL33" s="11"/>
      <c r="AM3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3" s="119">
        <f>IF(DONNEES[[#This Row],[DATE
PAIEMT]]="",0,DONNEES[[#This Row],[DATE
PAIEMT]])</f>
        <v>44892</v>
      </c>
    </row>
    <row r="34" spans="1:40" x14ac:dyDescent="0.25">
      <c r="A34" s="97">
        <f>DONNEES[[#This Row],[AM]]</f>
        <v>44891</v>
      </c>
      <c r="B34" s="95">
        <f>WEEKDAY(DONNEES[[#This Row],[JOUR]],2)</f>
        <v>6</v>
      </c>
      <c r="C34" s="99">
        <f>_xlfn.ISOWEEKNUM(DONNEES[[#This Row],[AM]]-1)</f>
        <v>47</v>
      </c>
      <c r="D34" s="92">
        <v>44891</v>
      </c>
      <c r="E34" s="93">
        <f>DONNEES[[#This Row],[AM]]+1</f>
        <v>44892</v>
      </c>
      <c r="F34" s="14" t="s">
        <v>37</v>
      </c>
      <c r="G34" s="85">
        <v>25</v>
      </c>
      <c r="H34" s="13">
        <v>2</v>
      </c>
      <c r="I34" s="103" t="s">
        <v>109</v>
      </c>
      <c r="J34" s="14" t="s">
        <v>39</v>
      </c>
      <c r="K34" s="15">
        <v>172.8</v>
      </c>
      <c r="L34" s="16">
        <v>2</v>
      </c>
      <c r="M34" s="16">
        <v>1</v>
      </c>
      <c r="N34" s="17"/>
      <c r="O34" s="11">
        <v>173.7</v>
      </c>
      <c r="P34" s="8">
        <v>24</v>
      </c>
      <c r="Q34" s="8"/>
      <c r="R34" s="8"/>
      <c r="S34" s="8"/>
      <c r="T34" s="8">
        <v>15</v>
      </c>
      <c r="U34" s="8"/>
      <c r="V34" s="8"/>
      <c r="W34" s="9">
        <v>0.9</v>
      </c>
      <c r="X34" s="7"/>
      <c r="Y34" s="9"/>
      <c r="Z34" s="6">
        <f>IF(SUM(O34:W34)=0,IF(DONNEES[[#This Row],[ACPTE RECU]]-DONNEES[[#This Row],[ACPTE RENDU]]=0,"",DONNEES[[#This Row],[ACPTE RECU]]-DONNEES[[#This Row],[ACPTE RENDU]]),SUM(O34:W34)+DONNEES[[#This Row],[ACPTE RECU]]-DONNEES[[#This Row],[ACPTE RENDU]])</f>
        <v>213.6</v>
      </c>
      <c r="AA34" s="12">
        <f>IF(DONNEES[[#This Row],[DEP
REC]]="D",DONNEES[[#This Row],[DEPART]],"")</f>
        <v>44892</v>
      </c>
      <c r="AB34" s="79">
        <v>213.6</v>
      </c>
      <c r="AC34" s="8"/>
      <c r="AD34" s="8"/>
      <c r="AE34" s="8"/>
      <c r="AF34" s="8"/>
      <c r="AG34" s="8"/>
      <c r="AH34" s="8"/>
      <c r="AI34" s="8"/>
      <c r="AJ34" s="9"/>
      <c r="AK34" s="54">
        <f t="shared" si="2"/>
        <v>213.6</v>
      </c>
      <c r="AL34" s="11"/>
      <c r="AM3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4" s="119">
        <f>IF(DONNEES[[#This Row],[DATE
PAIEMT]]="",0,DONNEES[[#This Row],[DATE
PAIEMT]])</f>
        <v>44892</v>
      </c>
    </row>
    <row r="35" spans="1:40" x14ac:dyDescent="0.25">
      <c r="A35" s="97">
        <f>DONNEES[[#This Row],[AM]]</f>
        <v>44891</v>
      </c>
      <c r="B35" s="95">
        <f>WEEKDAY(DONNEES[[#This Row],[JOUR]],2)</f>
        <v>6</v>
      </c>
      <c r="C35" s="99">
        <f>_xlfn.ISOWEEKNUM(DONNEES[[#This Row],[AM]]-1)</f>
        <v>47</v>
      </c>
      <c r="D35" s="92">
        <v>44891</v>
      </c>
      <c r="E35" s="93">
        <f>DONNEES[[#This Row],[AM]]+1</f>
        <v>44892</v>
      </c>
      <c r="F35" s="14" t="s">
        <v>37</v>
      </c>
      <c r="G35" s="85">
        <v>15</v>
      </c>
      <c r="H35" s="13">
        <v>3</v>
      </c>
      <c r="I35" s="103" t="s">
        <v>107</v>
      </c>
      <c r="J35" s="14" t="s">
        <v>39</v>
      </c>
      <c r="K35" s="15">
        <v>208.8</v>
      </c>
      <c r="L35" s="16"/>
      <c r="M35" s="16"/>
      <c r="N35" s="17"/>
      <c r="O35" s="11">
        <f>208.8*2+3.6</f>
        <v>421.20000000000005</v>
      </c>
      <c r="P35" s="8">
        <v>36</v>
      </c>
      <c r="Q35" s="8"/>
      <c r="R35" s="8"/>
      <c r="S35" s="8"/>
      <c r="T35" s="8"/>
      <c r="U35" s="8"/>
      <c r="V35" s="8"/>
      <c r="W35" s="9">
        <v>1.8</v>
      </c>
      <c r="X35" s="7"/>
      <c r="Y35" s="9"/>
      <c r="Z35" s="6">
        <f>IF(SUM(O35:W35)=0,IF(DONNEES[[#This Row],[ACPTE RECU]]-DONNEES[[#This Row],[ACPTE RENDU]]=0,"",DONNEES[[#This Row],[ACPTE RECU]]-DONNEES[[#This Row],[ACPTE RENDU]]),SUM(O35:W35)+DONNEES[[#This Row],[ACPTE RECU]]-DONNEES[[#This Row],[ACPTE RENDU]])</f>
        <v>459.00000000000006</v>
      </c>
      <c r="AA35" s="12">
        <f>IF(DONNEES[[#This Row],[DEP
REC]]="D",DONNEES[[#This Row],[DEPART]],"")</f>
        <v>44892</v>
      </c>
      <c r="AB35" s="79">
        <v>459</v>
      </c>
      <c r="AC35" s="8"/>
      <c r="AD35" s="8"/>
      <c r="AE35" s="8"/>
      <c r="AF35" s="8"/>
      <c r="AG35" s="8"/>
      <c r="AH35" s="8"/>
      <c r="AI35" s="8"/>
      <c r="AJ35" s="9"/>
      <c r="AK35" s="54">
        <f t="shared" si="2"/>
        <v>459</v>
      </c>
      <c r="AL35" s="11"/>
      <c r="AM3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5" s="119">
        <f>IF(DONNEES[[#This Row],[DATE
PAIEMT]]="",0,DONNEES[[#This Row],[DATE
PAIEMT]])</f>
        <v>44892</v>
      </c>
    </row>
    <row r="36" spans="1:40" x14ac:dyDescent="0.25">
      <c r="A36" s="97">
        <f>DONNEES[[#This Row],[AM]]</f>
        <v>44891</v>
      </c>
      <c r="B36" s="95">
        <f>WEEKDAY(DONNEES[[#This Row],[JOUR]],2)</f>
        <v>6</v>
      </c>
      <c r="C36" s="99">
        <f>_xlfn.ISOWEEKNUM(DONNEES[[#This Row],[AM]]-1)</f>
        <v>47</v>
      </c>
      <c r="D36" s="92">
        <v>44891</v>
      </c>
      <c r="E36" s="93">
        <f>DONNEES[[#This Row],[AM]]+1</f>
        <v>44892</v>
      </c>
      <c r="F36" s="14" t="s">
        <v>38</v>
      </c>
      <c r="G36" s="85">
        <v>1</v>
      </c>
      <c r="H36" s="13">
        <v>2</v>
      </c>
      <c r="I36" s="103" t="s">
        <v>96</v>
      </c>
      <c r="J36" s="14" t="s">
        <v>21</v>
      </c>
      <c r="K36" s="15">
        <v>150</v>
      </c>
      <c r="L36" s="16">
        <v>1</v>
      </c>
      <c r="M36" s="16">
        <v>1</v>
      </c>
      <c r="N36" s="17"/>
      <c r="O36" s="11"/>
      <c r="P36" s="8"/>
      <c r="Q36" s="8"/>
      <c r="R36" s="8"/>
      <c r="S36" s="8"/>
      <c r="T36" s="8"/>
      <c r="U36" s="8"/>
      <c r="V36" s="8"/>
      <c r="W36" s="9"/>
      <c r="X36" s="7"/>
      <c r="Y36" s="9"/>
      <c r="Z36" s="6" t="str">
        <f>IF(SUM(O36:W36)=0,IF(DONNEES[[#This Row],[ACPTE RECU]]-DONNEES[[#This Row],[ACPTE RENDU]]=0,"",DONNEES[[#This Row],[ACPTE RECU]]-DONNEES[[#This Row],[ACPTE RENDU]]),SUM(O36:W36)+DONNEES[[#This Row],[ACPTE RECU]]-DONNEES[[#This Row],[ACPTE RENDU]])</f>
        <v/>
      </c>
      <c r="AA36" s="12" t="str">
        <f>IF(DONNEES[[#This Row],[DEP
REC]]="D",DONNEES[[#This Row],[DEPART]],"")</f>
        <v/>
      </c>
      <c r="AB36" s="53"/>
      <c r="AC36" s="8"/>
      <c r="AD36" s="8"/>
      <c r="AE36" s="8"/>
      <c r="AF36" s="8"/>
      <c r="AG36" s="8"/>
      <c r="AH36" s="8"/>
      <c r="AI36" s="8"/>
      <c r="AJ36" s="9"/>
      <c r="AK36" s="54" t="str">
        <f t="shared" si="2"/>
        <v/>
      </c>
      <c r="AL36" s="11"/>
      <c r="AM3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6" s="119">
        <f>IF(DONNEES[[#This Row],[DATE
PAIEMT]]="",0,DONNEES[[#This Row],[DATE
PAIEMT]])</f>
        <v>0</v>
      </c>
    </row>
    <row r="37" spans="1:40" x14ac:dyDescent="0.25">
      <c r="A37" s="97">
        <f>DONNEES[[#This Row],[AM]]</f>
        <v>44891</v>
      </c>
      <c r="B37" s="95">
        <f>WEEKDAY(DONNEES[[#This Row],[JOUR]],2)</f>
        <v>6</v>
      </c>
      <c r="C37" s="99">
        <f>_xlfn.ISOWEEKNUM(DONNEES[[#This Row],[AM]]-1)</f>
        <v>47</v>
      </c>
      <c r="D37" s="92">
        <v>44891</v>
      </c>
      <c r="E37" s="93">
        <f>DONNEES[[#This Row],[AM]]+1</f>
        <v>44892</v>
      </c>
      <c r="F37" s="14" t="s">
        <v>38</v>
      </c>
      <c r="G37" s="85">
        <v>26</v>
      </c>
      <c r="H37" s="13">
        <v>2</v>
      </c>
      <c r="I37" s="103" t="s">
        <v>102</v>
      </c>
      <c r="J37" s="14" t="s">
        <v>39</v>
      </c>
      <c r="K37" s="15">
        <v>162.9</v>
      </c>
      <c r="L37" s="16"/>
      <c r="M37" s="16">
        <v>1</v>
      </c>
      <c r="N37" s="17"/>
      <c r="O37" s="11"/>
      <c r="P37" s="8"/>
      <c r="Q37" s="8"/>
      <c r="R37" s="8"/>
      <c r="S37" s="8"/>
      <c r="T37" s="8"/>
      <c r="U37" s="8"/>
      <c r="V37" s="8"/>
      <c r="W37" s="9"/>
      <c r="X37" s="7"/>
      <c r="Y37" s="9"/>
      <c r="Z37" s="6" t="str">
        <f>IF(SUM(O37:W37)=0,IF(DONNEES[[#This Row],[ACPTE RECU]]-DONNEES[[#This Row],[ACPTE RENDU]]=0,"",DONNEES[[#This Row],[ACPTE RECU]]-DONNEES[[#This Row],[ACPTE RENDU]]),SUM(O37:W37)+DONNEES[[#This Row],[ACPTE RECU]]-DONNEES[[#This Row],[ACPTE RENDU]])</f>
        <v/>
      </c>
      <c r="AA37" s="12" t="str">
        <f>IF(DONNEES[[#This Row],[DEP
REC]]="D",DONNEES[[#This Row],[DEPART]],"")</f>
        <v/>
      </c>
      <c r="AB37" s="53"/>
      <c r="AC37" s="8"/>
      <c r="AD37" s="8"/>
      <c r="AE37" s="8"/>
      <c r="AF37" s="8"/>
      <c r="AG37" s="8"/>
      <c r="AH37" s="8"/>
      <c r="AI37" s="8"/>
      <c r="AJ37" s="9"/>
      <c r="AK37" s="54" t="str">
        <f t="shared" si="2"/>
        <v/>
      </c>
      <c r="AL37" s="11"/>
      <c r="AM3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7" s="119">
        <f>IF(DONNEES[[#This Row],[DATE
PAIEMT]]="",0,DONNEES[[#This Row],[DATE
PAIEMT]])</f>
        <v>0</v>
      </c>
    </row>
    <row r="38" spans="1:40" x14ac:dyDescent="0.25">
      <c r="A38" s="97">
        <f>DONNEES[[#This Row],[AM]]</f>
        <v>44891</v>
      </c>
      <c r="B38" s="95">
        <f>WEEKDAY(DONNEES[[#This Row],[JOUR]],2)</f>
        <v>6</v>
      </c>
      <c r="C38" s="99">
        <f>_xlfn.ISOWEEKNUM(DONNEES[[#This Row],[AM]]-1)</f>
        <v>47</v>
      </c>
      <c r="D38" s="92">
        <v>44891</v>
      </c>
      <c r="E38" s="93">
        <f>DONNEES[[#This Row],[AM]]+1</f>
        <v>44892</v>
      </c>
      <c r="F38" s="14" t="s">
        <v>38</v>
      </c>
      <c r="G38" s="85">
        <v>16</v>
      </c>
      <c r="H38" s="13">
        <v>2</v>
      </c>
      <c r="I38" s="103" t="s">
        <v>112</v>
      </c>
      <c r="J38" s="14" t="s">
        <v>39</v>
      </c>
      <c r="K38" s="15">
        <v>208.8</v>
      </c>
      <c r="L38" s="16"/>
      <c r="M38" s="16"/>
      <c r="N38" s="17"/>
      <c r="O38" s="11"/>
      <c r="P38" s="8"/>
      <c r="Q38" s="8"/>
      <c r="R38" s="8"/>
      <c r="S38" s="8"/>
      <c r="T38" s="8"/>
      <c r="U38" s="8"/>
      <c r="V38" s="8"/>
      <c r="W38" s="9"/>
      <c r="X38" s="7"/>
      <c r="Y38" s="9"/>
      <c r="Z38" s="6" t="str">
        <f>IF(SUM(O38:W38)=0,IF(DONNEES[[#This Row],[ACPTE RECU]]-DONNEES[[#This Row],[ACPTE RENDU]]=0,"",DONNEES[[#This Row],[ACPTE RECU]]-DONNEES[[#This Row],[ACPTE RENDU]]),SUM(O38:W38)+DONNEES[[#This Row],[ACPTE RECU]]-DONNEES[[#This Row],[ACPTE RENDU]])</f>
        <v/>
      </c>
      <c r="AA38" s="12" t="str">
        <f>IF(DONNEES[[#This Row],[DEP
REC]]="D",DONNEES[[#This Row],[DEPART]],"")</f>
        <v/>
      </c>
      <c r="AB38" s="53"/>
      <c r="AC38" s="8"/>
      <c r="AD38" s="8"/>
      <c r="AE38" s="8"/>
      <c r="AF38" s="8"/>
      <c r="AG38" s="8"/>
      <c r="AH38" s="8"/>
      <c r="AI38" s="8"/>
      <c r="AJ38" s="9"/>
      <c r="AK38" s="54" t="str">
        <f t="shared" si="2"/>
        <v/>
      </c>
      <c r="AL38" s="11"/>
      <c r="AM3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8" s="119">
        <f>IF(DONNEES[[#This Row],[DATE
PAIEMT]]="",0,DONNEES[[#This Row],[DATE
PAIEMT]])</f>
        <v>0</v>
      </c>
    </row>
    <row r="39" spans="1:40" x14ac:dyDescent="0.25">
      <c r="A39" s="97">
        <f>DONNEES[[#This Row],[AM]]</f>
        <v>44892</v>
      </c>
      <c r="B39" s="95">
        <f>WEEKDAY(DONNEES[[#This Row],[JOUR]],2)</f>
        <v>7</v>
      </c>
      <c r="C39" s="99">
        <f>_xlfn.ISOWEEKNUM(DONNEES[[#This Row],[AM]]-1)</f>
        <v>47</v>
      </c>
      <c r="D39" s="92">
        <v>44892</v>
      </c>
      <c r="E39" s="93">
        <f>DONNEES[[#This Row],[AM]]+1</f>
        <v>44893</v>
      </c>
      <c r="F39" s="14" t="s">
        <v>37</v>
      </c>
      <c r="G39" s="85">
        <v>26</v>
      </c>
      <c r="H39" s="13">
        <v>2</v>
      </c>
      <c r="I39" s="103" t="s">
        <v>102</v>
      </c>
      <c r="J39" s="14" t="s">
        <v>39</v>
      </c>
      <c r="K39" s="15">
        <v>162.9</v>
      </c>
      <c r="L39" s="16"/>
      <c r="M39" s="16">
        <v>1</v>
      </c>
      <c r="N39" s="17"/>
      <c r="O39" s="11">
        <f>163.8*3+127.8</f>
        <v>619.20000000000005</v>
      </c>
      <c r="P39" s="8"/>
      <c r="Q39" s="8"/>
      <c r="R39" s="8"/>
      <c r="S39" s="8"/>
      <c r="T39" s="8">
        <v>30</v>
      </c>
      <c r="U39" s="8"/>
      <c r="V39" s="8"/>
      <c r="W39" s="9">
        <v>3.6</v>
      </c>
      <c r="X39" s="7"/>
      <c r="Y39" s="9"/>
      <c r="Z39" s="6">
        <f>IF(SUM(O39:W39)=0,IF(DONNEES[[#This Row],[ACPTE RECU]]-DONNEES[[#This Row],[ACPTE RENDU]]=0,"",DONNEES[[#This Row],[ACPTE RECU]]-DONNEES[[#This Row],[ACPTE RENDU]]),SUM(O39:W39)+DONNEES[[#This Row],[ACPTE RECU]]-DONNEES[[#This Row],[ACPTE RENDU]])</f>
        <v>652.80000000000007</v>
      </c>
      <c r="AA39" s="12">
        <v>44892</v>
      </c>
      <c r="AB39" s="79">
        <v>652.79999999999995</v>
      </c>
      <c r="AC39" s="8"/>
      <c r="AD39" s="8"/>
      <c r="AE39" s="8"/>
      <c r="AF39" s="8"/>
      <c r="AG39" s="8"/>
      <c r="AH39" s="8"/>
      <c r="AI39" s="8"/>
      <c r="AJ39" s="9"/>
      <c r="AK39" s="54">
        <f t="shared" si="2"/>
        <v>652.79999999999995</v>
      </c>
      <c r="AL39" s="11"/>
      <c r="AM3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39" s="119">
        <f>IF(DONNEES[[#This Row],[DATE
PAIEMT]]="",0,DONNEES[[#This Row],[DATE
PAIEMT]])</f>
        <v>44892</v>
      </c>
    </row>
    <row r="40" spans="1:40" x14ac:dyDescent="0.25">
      <c r="A40" s="97">
        <f>DONNEES[[#This Row],[AM]]</f>
        <v>44892</v>
      </c>
      <c r="B40" s="95">
        <f>WEEKDAY(DONNEES[[#This Row],[JOUR]],2)</f>
        <v>7</v>
      </c>
      <c r="C40" s="99">
        <f>_xlfn.ISOWEEKNUM(DONNEES[[#This Row],[AM]]-1)</f>
        <v>47</v>
      </c>
      <c r="D40" s="92">
        <v>44892</v>
      </c>
      <c r="E40" s="93">
        <f>DONNEES[[#This Row],[AM]]+1</f>
        <v>44893</v>
      </c>
      <c r="F40" s="14" t="s">
        <v>37</v>
      </c>
      <c r="G40" s="85">
        <v>14</v>
      </c>
      <c r="H40" s="13">
        <v>2</v>
      </c>
      <c r="I40" s="103" t="s">
        <v>116</v>
      </c>
      <c r="J40" s="14" t="s">
        <v>39</v>
      </c>
      <c r="K40" s="15">
        <v>91.8</v>
      </c>
      <c r="L40" s="16"/>
      <c r="M40" s="16"/>
      <c r="N40" s="17"/>
      <c r="O40" s="11">
        <v>92.7</v>
      </c>
      <c r="P40" s="8"/>
      <c r="Q40" s="8"/>
      <c r="R40" s="8"/>
      <c r="S40" s="8"/>
      <c r="T40" s="8"/>
      <c r="U40" s="8"/>
      <c r="V40" s="8"/>
      <c r="W40" s="9">
        <v>0.9</v>
      </c>
      <c r="X40" s="7"/>
      <c r="Y40" s="9"/>
      <c r="Z40" s="6">
        <f>IF(SUM(O40:W40)=0,IF(DONNEES[[#This Row],[ACPTE RECU]]-DONNEES[[#This Row],[ACPTE RENDU]]=0,"",DONNEES[[#This Row],[ACPTE RECU]]-DONNEES[[#This Row],[ACPTE RENDU]]),SUM(O40:W40)+DONNEES[[#This Row],[ACPTE RECU]]-DONNEES[[#This Row],[ACPTE RENDU]])</f>
        <v>93.600000000000009</v>
      </c>
      <c r="AA40" s="12">
        <v>44892</v>
      </c>
      <c r="AB40" s="53"/>
      <c r="AC40" s="8"/>
      <c r="AD40" s="8"/>
      <c r="AE40" s="8"/>
      <c r="AF40" s="8"/>
      <c r="AG40" s="8"/>
      <c r="AH40" s="8">
        <v>93.6</v>
      </c>
      <c r="AI40" s="8"/>
      <c r="AJ40" s="9"/>
      <c r="AK40" s="54">
        <f t="shared" si="2"/>
        <v>93.6</v>
      </c>
      <c r="AL40" s="11"/>
      <c r="AM4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0" s="119">
        <f>IF(DONNEES[[#This Row],[DATE
PAIEMT]]="",0,DONNEES[[#This Row],[DATE
PAIEMT]])</f>
        <v>44892</v>
      </c>
    </row>
    <row r="41" spans="1:40" x14ac:dyDescent="0.25">
      <c r="A41" s="97">
        <f>DONNEES[[#This Row],[AM]]</f>
        <v>44892</v>
      </c>
      <c r="B41" s="95">
        <f>WEEKDAY(DONNEES[[#This Row],[JOUR]],2)</f>
        <v>7</v>
      </c>
      <c r="C41" s="99">
        <f>_xlfn.ISOWEEKNUM(DONNEES[[#This Row],[AM]]-1)</f>
        <v>47</v>
      </c>
      <c r="D41" s="92">
        <v>44892</v>
      </c>
      <c r="E41" s="93">
        <f>DONNEES[[#This Row],[AM]]+1</f>
        <v>44893</v>
      </c>
      <c r="F41" s="14" t="s">
        <v>37</v>
      </c>
      <c r="G41" s="85">
        <v>1</v>
      </c>
      <c r="H41" s="13">
        <v>2</v>
      </c>
      <c r="I41" s="103" t="s">
        <v>96</v>
      </c>
      <c r="J41" s="14" t="s">
        <v>21</v>
      </c>
      <c r="K41" s="15">
        <v>150</v>
      </c>
      <c r="L41" s="16">
        <v>1</v>
      </c>
      <c r="M41" s="16">
        <v>1</v>
      </c>
      <c r="N41" s="17"/>
      <c r="O41" s="11"/>
      <c r="P41" s="8"/>
      <c r="Q41" s="8"/>
      <c r="R41" s="8"/>
      <c r="S41" s="8"/>
      <c r="T41" s="8">
        <v>55</v>
      </c>
      <c r="U41" s="8"/>
      <c r="V41" s="8"/>
      <c r="W41" s="9"/>
      <c r="X41" s="7"/>
      <c r="Y41" s="9"/>
      <c r="Z41" s="6">
        <f>IF(SUM(O41:W41)=0,IF(DONNEES[[#This Row],[ACPTE RECU]]-DONNEES[[#This Row],[ACPTE RENDU]]=0,"",DONNEES[[#This Row],[ACPTE RECU]]-DONNEES[[#This Row],[ACPTE RENDU]]),SUM(O41:W41)+DONNEES[[#This Row],[ACPTE RECU]]-DONNEES[[#This Row],[ACPTE RENDU]])</f>
        <v>55</v>
      </c>
      <c r="AA41" s="12">
        <f>IF(DONNEES[[#This Row],[DEP
REC]]="D",DONNEES[[#This Row],[DEPART]],"")</f>
        <v>44893</v>
      </c>
      <c r="AB41" s="79">
        <v>55</v>
      </c>
      <c r="AC41" s="8"/>
      <c r="AD41" s="8"/>
      <c r="AE41" s="8"/>
      <c r="AF41" s="8"/>
      <c r="AG41" s="8"/>
      <c r="AH41" s="8"/>
      <c r="AI41" s="8"/>
      <c r="AJ41" s="9"/>
      <c r="AK41" s="54">
        <f t="shared" si="2"/>
        <v>55</v>
      </c>
      <c r="AL41" s="11"/>
      <c r="AM4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1" s="119">
        <f>IF(DONNEES[[#This Row],[DATE
PAIEMT]]="",0,DONNEES[[#This Row],[DATE
PAIEMT]])</f>
        <v>44893</v>
      </c>
    </row>
    <row r="42" spans="1:40" x14ac:dyDescent="0.25">
      <c r="A42" s="97">
        <f>DONNEES[[#This Row],[AM]]</f>
        <v>44892</v>
      </c>
      <c r="B42" s="95">
        <f>WEEKDAY(DONNEES[[#This Row],[JOUR]],2)</f>
        <v>7</v>
      </c>
      <c r="C42" s="99">
        <f>_xlfn.ISOWEEKNUM(DONNEES[[#This Row],[AM]]-1)</f>
        <v>47</v>
      </c>
      <c r="D42" s="92">
        <v>44892</v>
      </c>
      <c r="E42" s="93">
        <f>DONNEES[[#This Row],[AM]]+1</f>
        <v>44893</v>
      </c>
      <c r="F42" s="14" t="s">
        <v>37</v>
      </c>
      <c r="G42" s="85">
        <v>21</v>
      </c>
      <c r="H42" s="13">
        <v>2</v>
      </c>
      <c r="I42" s="103" t="s">
        <v>115</v>
      </c>
      <c r="J42" s="14" t="s">
        <v>39</v>
      </c>
      <c r="K42" s="15">
        <v>91.8</v>
      </c>
      <c r="L42" s="16">
        <v>2</v>
      </c>
      <c r="M42" s="16"/>
      <c r="N42" s="17"/>
      <c r="O42" s="11">
        <v>92.7</v>
      </c>
      <c r="P42" s="8">
        <v>24</v>
      </c>
      <c r="Q42" s="8"/>
      <c r="R42" s="8"/>
      <c r="S42" s="8"/>
      <c r="T42" s="8"/>
      <c r="U42" s="8"/>
      <c r="V42" s="8"/>
      <c r="W42" s="9">
        <v>0.9</v>
      </c>
      <c r="X42" s="7"/>
      <c r="Y42" s="9"/>
      <c r="Z42" s="6">
        <f>IF(SUM(O42:W42)=0,IF(DONNEES[[#This Row],[ACPTE RECU]]-DONNEES[[#This Row],[ACPTE RENDU]]=0,"",DONNEES[[#This Row],[ACPTE RECU]]-DONNEES[[#This Row],[ACPTE RENDU]]),SUM(O42:W42)+DONNEES[[#This Row],[ACPTE RECU]]-DONNEES[[#This Row],[ACPTE RENDU]])</f>
        <v>117.60000000000001</v>
      </c>
      <c r="AA42" s="12">
        <f>IF(DONNEES[[#This Row],[DEP
REC]]="D",DONNEES[[#This Row],[DEPART]],"")</f>
        <v>44893</v>
      </c>
      <c r="AB42" s="79">
        <v>117.6</v>
      </c>
      <c r="AC42" s="8"/>
      <c r="AD42" s="8"/>
      <c r="AE42" s="8"/>
      <c r="AF42" s="8"/>
      <c r="AG42" s="8"/>
      <c r="AH42" s="8"/>
      <c r="AI42" s="8"/>
      <c r="AJ42" s="9"/>
      <c r="AK42" s="54">
        <f t="shared" si="2"/>
        <v>117.6</v>
      </c>
      <c r="AL42" s="11"/>
      <c r="AM4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2" s="119">
        <f>IF(DONNEES[[#This Row],[DATE
PAIEMT]]="",0,DONNEES[[#This Row],[DATE
PAIEMT]])</f>
        <v>44893</v>
      </c>
    </row>
    <row r="43" spans="1:40" x14ac:dyDescent="0.25">
      <c r="A43" s="97">
        <f>DONNEES[[#This Row],[AM]]</f>
        <v>44892</v>
      </c>
      <c r="B43" s="95">
        <f>WEEKDAY(DONNEES[[#This Row],[JOUR]],2)</f>
        <v>7</v>
      </c>
      <c r="C43" s="99">
        <f>_xlfn.ISOWEEKNUM(DONNEES[[#This Row],[AM]]-1)</f>
        <v>47</v>
      </c>
      <c r="D43" s="92">
        <v>44892</v>
      </c>
      <c r="E43" s="93">
        <f>DONNEES[[#This Row],[AM]]+1</f>
        <v>44893</v>
      </c>
      <c r="F43" s="14" t="s">
        <v>37</v>
      </c>
      <c r="G43" s="85">
        <v>16</v>
      </c>
      <c r="H43" s="13">
        <v>2</v>
      </c>
      <c r="I43" s="103" t="s">
        <v>112</v>
      </c>
      <c r="J43" s="14" t="s">
        <v>39</v>
      </c>
      <c r="K43" s="15">
        <v>167.4</v>
      </c>
      <c r="L43" s="16"/>
      <c r="M43" s="16"/>
      <c r="N43" s="17">
        <v>4</v>
      </c>
      <c r="O43" s="11">
        <f>209.7+168.3-0.2</f>
        <v>377.8</v>
      </c>
      <c r="P43" s="8"/>
      <c r="Q43" s="8"/>
      <c r="R43" s="8">
        <v>4</v>
      </c>
      <c r="S43" s="8"/>
      <c r="T43" s="8"/>
      <c r="U43" s="8"/>
      <c r="V43" s="8"/>
      <c r="W43" s="9">
        <v>1.8</v>
      </c>
      <c r="X43" s="7"/>
      <c r="Y43" s="9"/>
      <c r="Z43" s="6">
        <f>IF(SUM(O43:W43)=0,IF(DONNEES[[#This Row],[ACPTE RECU]]-DONNEES[[#This Row],[ACPTE RENDU]]=0,"",DONNEES[[#This Row],[ACPTE RECU]]-DONNEES[[#This Row],[ACPTE RENDU]]),SUM(O43:W43)+DONNEES[[#This Row],[ACPTE RECU]]-DONNEES[[#This Row],[ACPTE RENDU]])</f>
        <v>383.6</v>
      </c>
      <c r="AA43" s="12">
        <f>IF(DONNEES[[#This Row],[DEP
REC]]="D",DONNEES[[#This Row],[DEPART]],"")</f>
        <v>44893</v>
      </c>
      <c r="AB43" s="79">
        <v>383.6</v>
      </c>
      <c r="AC43" s="8"/>
      <c r="AD43" s="8"/>
      <c r="AE43" s="8"/>
      <c r="AF43" s="8"/>
      <c r="AG43" s="8"/>
      <c r="AH43" s="8"/>
      <c r="AI43" s="8"/>
      <c r="AJ43" s="9"/>
      <c r="AK43" s="54">
        <f t="shared" si="2"/>
        <v>383.6</v>
      </c>
      <c r="AL43" s="11"/>
      <c r="AM4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3" s="119">
        <f>IF(DONNEES[[#This Row],[DATE
PAIEMT]]="",0,DONNEES[[#This Row],[DATE
PAIEMT]])</f>
        <v>44893</v>
      </c>
    </row>
    <row r="44" spans="1:40" x14ac:dyDescent="0.25">
      <c r="A44" s="97">
        <f>DONNEES[[#This Row],[AM]]</f>
        <v>44892</v>
      </c>
      <c r="B44" s="95">
        <f>WEEKDAY(DONNEES[[#This Row],[JOUR]],2)</f>
        <v>7</v>
      </c>
      <c r="C44" s="99">
        <f>_xlfn.ISOWEEKNUM(DONNEES[[#This Row],[AM]]-1)</f>
        <v>47</v>
      </c>
      <c r="D44" s="92">
        <v>44892</v>
      </c>
      <c r="E44" s="93">
        <f>DONNEES[[#This Row],[AM]]+1</f>
        <v>44893</v>
      </c>
      <c r="F44" s="14" t="s">
        <v>38</v>
      </c>
      <c r="G44" s="85">
        <v>12</v>
      </c>
      <c r="H44" s="13">
        <v>2</v>
      </c>
      <c r="I44" s="103" t="s">
        <v>113</v>
      </c>
      <c r="J44" s="14" t="s">
        <v>39</v>
      </c>
      <c r="K44" s="15">
        <v>117</v>
      </c>
      <c r="L44" s="16">
        <v>2</v>
      </c>
      <c r="M44" s="16"/>
      <c r="N44" s="17"/>
      <c r="O44" s="11"/>
      <c r="P44" s="8"/>
      <c r="Q44" s="8"/>
      <c r="R44" s="8"/>
      <c r="S44" s="8"/>
      <c r="T44" s="8"/>
      <c r="U44" s="8"/>
      <c r="V44" s="8"/>
      <c r="W44" s="9"/>
      <c r="X44" s="7"/>
      <c r="Y44" s="9"/>
      <c r="Z44" s="6" t="str">
        <f>IF(SUM(O44:W44)=0,IF(DONNEES[[#This Row],[ACPTE RECU]]-DONNEES[[#This Row],[ACPTE RENDU]]=0,"",DONNEES[[#This Row],[ACPTE RECU]]-DONNEES[[#This Row],[ACPTE RENDU]]),SUM(O44:W44)+DONNEES[[#This Row],[ACPTE RECU]]-DONNEES[[#This Row],[ACPTE RENDU]])</f>
        <v/>
      </c>
      <c r="AA44" s="12" t="str">
        <f>IF(DONNEES[[#This Row],[DEP
REC]]="D",DONNEES[[#This Row],[DEPART]],"")</f>
        <v/>
      </c>
      <c r="AB44" s="53"/>
      <c r="AC44" s="8"/>
      <c r="AD44" s="8"/>
      <c r="AE44" s="8"/>
      <c r="AF44" s="8"/>
      <c r="AG44" s="8"/>
      <c r="AH44" s="8"/>
      <c r="AI44" s="8"/>
      <c r="AJ44" s="9"/>
      <c r="AK44" s="54" t="str">
        <f t="shared" ref="AK44:AK81" si="3">IF(SUM(AB44:AJ44)=0,"",SUM(AB44:AJ44))</f>
        <v/>
      </c>
      <c r="AL44" s="11"/>
      <c r="AM4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4" s="119">
        <f>IF(DONNEES[[#This Row],[DATE
PAIEMT]]="",0,DONNEES[[#This Row],[DATE
PAIEMT]])</f>
        <v>0</v>
      </c>
    </row>
    <row r="45" spans="1:40" x14ac:dyDescent="0.25">
      <c r="A45" s="97">
        <f>DONNEES[[#This Row],[AM]]</f>
        <v>44892</v>
      </c>
      <c r="B45" s="95">
        <f>WEEKDAY(DONNEES[[#This Row],[JOUR]],2)</f>
        <v>7</v>
      </c>
      <c r="C45" s="99">
        <f>_xlfn.ISOWEEKNUM(DONNEES[[#This Row],[AM]]-1)</f>
        <v>47</v>
      </c>
      <c r="D45" s="92">
        <v>44892</v>
      </c>
      <c r="E45" s="93">
        <f>DONNEES[[#This Row],[AM]]+1</f>
        <v>44893</v>
      </c>
      <c r="F45" s="14" t="s">
        <v>38</v>
      </c>
      <c r="G45" s="85">
        <v>20</v>
      </c>
      <c r="H45" s="13">
        <v>1</v>
      </c>
      <c r="I45" s="103" t="s">
        <v>114</v>
      </c>
      <c r="J45" s="14" t="s">
        <v>21</v>
      </c>
      <c r="K45" s="15">
        <v>117</v>
      </c>
      <c r="L45" s="16"/>
      <c r="M45" s="16"/>
      <c r="N45" s="17"/>
      <c r="O45" s="11"/>
      <c r="P45" s="8"/>
      <c r="Q45" s="8"/>
      <c r="R45" s="8"/>
      <c r="S45" s="8"/>
      <c r="T45" s="8"/>
      <c r="U45" s="8"/>
      <c r="V45" s="8"/>
      <c r="W45" s="9"/>
      <c r="X45" s="7"/>
      <c r="Y45" s="9"/>
      <c r="Z45" s="6" t="str">
        <f>IF(SUM(O45:W45)=0,IF(DONNEES[[#This Row],[ACPTE RECU]]-DONNEES[[#This Row],[ACPTE RENDU]]=0,"",DONNEES[[#This Row],[ACPTE RECU]]-DONNEES[[#This Row],[ACPTE RENDU]]),SUM(O45:W45)+DONNEES[[#This Row],[ACPTE RECU]]-DONNEES[[#This Row],[ACPTE RENDU]])</f>
        <v/>
      </c>
      <c r="AA45" s="12" t="str">
        <f>IF(DONNEES[[#This Row],[DEP
REC]]="D",DONNEES[[#This Row],[DEPART]],"")</f>
        <v/>
      </c>
      <c r="AB45" s="53"/>
      <c r="AC45" s="8"/>
      <c r="AD45" s="8"/>
      <c r="AE45" s="8"/>
      <c r="AF45" s="8"/>
      <c r="AG45" s="8"/>
      <c r="AH45" s="8"/>
      <c r="AI45" s="8"/>
      <c r="AJ45" s="9"/>
      <c r="AK45" s="54" t="str">
        <f t="shared" si="3"/>
        <v/>
      </c>
      <c r="AL45" s="11"/>
      <c r="AM4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5" s="119">
        <f>IF(DONNEES[[#This Row],[DATE
PAIEMT]]="",0,DONNEES[[#This Row],[DATE
PAIEMT]])</f>
        <v>0</v>
      </c>
    </row>
    <row r="46" spans="1:40" x14ac:dyDescent="0.25">
      <c r="A46" s="97">
        <f>DONNEES[[#This Row],[AM]]</f>
        <v>44893</v>
      </c>
      <c r="B46" s="95">
        <f>WEEKDAY(DONNEES[[#This Row],[JOUR]],2)</f>
        <v>1</v>
      </c>
      <c r="C46" s="99">
        <f>_xlfn.ISOWEEKNUM(DONNEES[[#This Row],[AM]]-1)</f>
        <v>47</v>
      </c>
      <c r="D46" s="92">
        <v>44893</v>
      </c>
      <c r="E46" s="93">
        <f>DONNEES[[#This Row],[AM]]+1</f>
        <v>44894</v>
      </c>
      <c r="F46" s="14" t="s">
        <v>37</v>
      </c>
      <c r="G46" s="85">
        <v>16</v>
      </c>
      <c r="H46" s="13">
        <v>1</v>
      </c>
      <c r="I46" s="103" t="s">
        <v>52</v>
      </c>
      <c r="J46" s="14" t="s">
        <v>21</v>
      </c>
      <c r="K46" s="15">
        <v>140</v>
      </c>
      <c r="L46" s="16"/>
      <c r="M46" s="16">
        <v>1</v>
      </c>
      <c r="N46" s="17"/>
      <c r="O46" s="11">
        <v>140</v>
      </c>
      <c r="P46" s="8"/>
      <c r="Q46" s="8"/>
      <c r="R46" s="8"/>
      <c r="S46" s="8"/>
      <c r="T46" s="8">
        <v>15</v>
      </c>
      <c r="U46" s="8"/>
      <c r="V46" s="8"/>
      <c r="W46" s="9">
        <v>0.9</v>
      </c>
      <c r="X46" s="7"/>
      <c r="Y46" s="9"/>
      <c r="Z46" s="6">
        <f>IF(SUM(O46:W46)=0,IF(DONNEES[[#This Row],[ACPTE RECU]]-DONNEES[[#This Row],[ACPTE RENDU]]=0,"",DONNEES[[#This Row],[ACPTE RECU]]-DONNEES[[#This Row],[ACPTE RENDU]]),SUM(O46:W46)+DONNEES[[#This Row],[ACPTE RECU]]-DONNEES[[#This Row],[ACPTE RENDU]])</f>
        <v>155.9</v>
      </c>
      <c r="AA46" s="12">
        <v>44893</v>
      </c>
      <c r="AB46" s="79">
        <v>155.9</v>
      </c>
      <c r="AC46" s="8"/>
      <c r="AD46" s="8"/>
      <c r="AE46" s="8"/>
      <c r="AF46" s="8"/>
      <c r="AG46" s="8"/>
      <c r="AH46" s="8"/>
      <c r="AI46" s="8"/>
      <c r="AJ46" s="9"/>
      <c r="AK46" s="54">
        <f t="shared" si="3"/>
        <v>155.9</v>
      </c>
      <c r="AL46" s="11"/>
      <c r="AM4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6" s="119">
        <f>IF(DONNEES[[#This Row],[DATE
PAIEMT]]="",0,DONNEES[[#This Row],[DATE
PAIEMT]])</f>
        <v>44893</v>
      </c>
    </row>
    <row r="47" spans="1:40" x14ac:dyDescent="0.25">
      <c r="A47" s="97">
        <f>DONNEES[[#This Row],[AM]]</f>
        <v>44893</v>
      </c>
      <c r="B47" s="95">
        <f>WEEKDAY(DONNEES[[#This Row],[JOUR]],2)</f>
        <v>1</v>
      </c>
      <c r="C47" s="99">
        <f>_xlfn.ISOWEEKNUM(DONNEES[[#This Row],[AM]]-1)</f>
        <v>47</v>
      </c>
      <c r="D47" s="92">
        <v>44893</v>
      </c>
      <c r="E47" s="93">
        <f>DONNEES[[#This Row],[AM]]+1</f>
        <v>44894</v>
      </c>
      <c r="F47" s="14"/>
      <c r="G47" s="85"/>
      <c r="H47" s="13"/>
      <c r="I47" s="103" t="s">
        <v>97</v>
      </c>
      <c r="J47" s="14"/>
      <c r="K47" s="15"/>
      <c r="L47" s="16"/>
      <c r="M47" s="16"/>
      <c r="N47" s="17"/>
      <c r="O47" s="11"/>
      <c r="P47" s="8"/>
      <c r="Q47" s="8"/>
      <c r="R47" s="8"/>
      <c r="S47" s="8"/>
      <c r="T47" s="8"/>
      <c r="U47" s="8"/>
      <c r="V47" s="8"/>
      <c r="W47" s="9"/>
      <c r="X47" s="7"/>
      <c r="Y47" s="9"/>
      <c r="Z47" s="6" t="str">
        <f>IF(SUM(O47:W47)=0,IF(DONNEES[[#This Row],[ACPTE RECU]]-DONNEES[[#This Row],[ACPTE RENDU]]=0,"",DONNEES[[#This Row],[ACPTE RECU]]-DONNEES[[#This Row],[ACPTE RENDU]]),SUM(O47:W47)+DONNEES[[#This Row],[ACPTE RECU]]-DONNEES[[#This Row],[ACPTE RENDU]])</f>
        <v/>
      </c>
      <c r="AA47" s="12">
        <v>44893</v>
      </c>
      <c r="AB47" s="53"/>
      <c r="AC47" s="8"/>
      <c r="AD47" s="58">
        <v>-277</v>
      </c>
      <c r="AE47" s="8"/>
      <c r="AF47" s="8"/>
      <c r="AG47" s="8"/>
      <c r="AH47" s="8"/>
      <c r="AI47" s="8"/>
      <c r="AJ47" s="9"/>
      <c r="AK47" s="54">
        <f t="shared" si="3"/>
        <v>-277</v>
      </c>
      <c r="AL47" s="11"/>
      <c r="AM47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277</v>
      </c>
      <c r="AN47" s="119">
        <f>IF(DONNEES[[#This Row],[DATE
PAIEMT]]="",0,DONNEES[[#This Row],[DATE
PAIEMT]])</f>
        <v>44893</v>
      </c>
    </row>
    <row r="48" spans="1:40" x14ac:dyDescent="0.25">
      <c r="A48" s="97">
        <f>DONNEES[[#This Row],[AM]]</f>
        <v>44893</v>
      </c>
      <c r="B48" s="95">
        <f>WEEKDAY(DONNEES[[#This Row],[JOUR]],2)</f>
        <v>1</v>
      </c>
      <c r="C48" s="99">
        <f>_xlfn.ISOWEEKNUM(DONNEES[[#This Row],[AM]]-1)</f>
        <v>47</v>
      </c>
      <c r="D48" s="92">
        <v>44893</v>
      </c>
      <c r="E48" s="93">
        <f>DONNEES[[#This Row],[AM]]+1</f>
        <v>44894</v>
      </c>
      <c r="F48" s="14" t="s">
        <v>37</v>
      </c>
      <c r="G48" s="85">
        <v>12</v>
      </c>
      <c r="H48" s="13">
        <v>2</v>
      </c>
      <c r="I48" s="103" t="s">
        <v>113</v>
      </c>
      <c r="J48" s="14" t="s">
        <v>39</v>
      </c>
      <c r="K48" s="15">
        <v>142.19999999999999</v>
      </c>
      <c r="L48" s="16">
        <v>2</v>
      </c>
      <c r="M48" s="16"/>
      <c r="N48" s="17"/>
      <c r="O48" s="11">
        <f>117.9+143.1</f>
        <v>261</v>
      </c>
      <c r="P48" s="8">
        <v>48</v>
      </c>
      <c r="Q48" s="8"/>
      <c r="R48" s="8"/>
      <c r="S48" s="8"/>
      <c r="T48" s="8"/>
      <c r="U48" s="8"/>
      <c r="V48" s="8"/>
      <c r="W48" s="9">
        <v>1.8</v>
      </c>
      <c r="X48" s="7"/>
      <c r="Y48" s="9"/>
      <c r="Z48" s="6">
        <f>IF(SUM(O48:W48)=0,IF(DONNEES[[#This Row],[ACPTE RECU]]-DONNEES[[#This Row],[ACPTE RENDU]]=0,"",DONNEES[[#This Row],[ACPTE RECU]]-DONNEES[[#This Row],[ACPTE RENDU]]),SUM(O48:W48)+DONNEES[[#This Row],[ACPTE RECU]]-DONNEES[[#This Row],[ACPTE RENDU]])</f>
        <v>310.8</v>
      </c>
      <c r="AA48" s="12">
        <f>IF(DONNEES[[#This Row],[DEP
REC]]="D",DONNEES[[#This Row],[DEPART]],"")</f>
        <v>44894</v>
      </c>
      <c r="AB48" s="79">
        <v>310.8</v>
      </c>
      <c r="AC48" s="8"/>
      <c r="AD48" s="8"/>
      <c r="AE48" s="8"/>
      <c r="AF48" s="8"/>
      <c r="AG48" s="8"/>
      <c r="AH48" s="8"/>
      <c r="AI48" s="8"/>
      <c r="AJ48" s="9"/>
      <c r="AK48" s="54">
        <f t="shared" si="3"/>
        <v>310.8</v>
      </c>
      <c r="AL48" s="11"/>
      <c r="AM4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8" s="119">
        <f>IF(DONNEES[[#This Row],[DATE
PAIEMT]]="",0,DONNEES[[#This Row],[DATE
PAIEMT]])</f>
        <v>44894</v>
      </c>
    </row>
    <row r="49" spans="1:40" x14ac:dyDescent="0.25">
      <c r="A49" s="97">
        <f>DONNEES[[#This Row],[AM]]</f>
        <v>44893</v>
      </c>
      <c r="B49" s="95">
        <f>WEEKDAY(DONNEES[[#This Row],[JOUR]],2)</f>
        <v>1</v>
      </c>
      <c r="C49" s="99">
        <f>_xlfn.ISOWEEKNUM(DONNEES[[#This Row],[AM]]-1)</f>
        <v>47</v>
      </c>
      <c r="D49" s="92">
        <v>44893</v>
      </c>
      <c r="E49" s="93">
        <f>DONNEES[[#This Row],[AM]]+1</f>
        <v>44894</v>
      </c>
      <c r="F49" s="14" t="s">
        <v>37</v>
      </c>
      <c r="G49" s="85">
        <v>20</v>
      </c>
      <c r="H49" s="13">
        <v>1</v>
      </c>
      <c r="I49" s="103" t="s">
        <v>114</v>
      </c>
      <c r="J49" s="14" t="s">
        <v>21</v>
      </c>
      <c r="K49" s="15">
        <v>175</v>
      </c>
      <c r="L49" s="16"/>
      <c r="M49" s="16"/>
      <c r="N49" s="17"/>
      <c r="O49" s="11">
        <f>117+175</f>
        <v>292</v>
      </c>
      <c r="P49" s="8"/>
      <c r="Q49" s="8"/>
      <c r="R49" s="8"/>
      <c r="S49" s="8"/>
      <c r="T49" s="8"/>
      <c r="U49" s="8"/>
      <c r="V49" s="8"/>
      <c r="W49" s="9">
        <v>1.8</v>
      </c>
      <c r="X49" s="7"/>
      <c r="Y49" s="9"/>
      <c r="Z49" s="6">
        <f>IF(SUM(O49:W49)=0,IF(DONNEES[[#This Row],[ACPTE RECU]]-DONNEES[[#This Row],[ACPTE RENDU]]=0,"",DONNEES[[#This Row],[ACPTE RECU]]-DONNEES[[#This Row],[ACPTE RENDU]]),SUM(O49:W49)+DONNEES[[#This Row],[ACPTE RECU]]-DONNEES[[#This Row],[ACPTE RENDU]])</f>
        <v>293.8</v>
      </c>
      <c r="AA49" s="12">
        <f>IF(DONNEES[[#This Row],[DEP
REC]]="D",DONNEES[[#This Row],[DEPART]],"")</f>
        <v>44894</v>
      </c>
      <c r="AB49" s="53"/>
      <c r="AC49" s="8"/>
      <c r="AD49" s="8"/>
      <c r="AE49" s="8"/>
      <c r="AF49" s="58">
        <v>293.8</v>
      </c>
      <c r="AG49" s="8"/>
      <c r="AH49" s="8"/>
      <c r="AI49" s="8"/>
      <c r="AJ49" s="9"/>
      <c r="AK49" s="54">
        <f t="shared" si="3"/>
        <v>293.8</v>
      </c>
      <c r="AL49" s="11"/>
      <c r="AM4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49" s="119">
        <f>IF(DONNEES[[#This Row],[DATE
PAIEMT]]="",0,DONNEES[[#This Row],[DATE
PAIEMT]])</f>
        <v>44894</v>
      </c>
    </row>
    <row r="50" spans="1:40" x14ac:dyDescent="0.25">
      <c r="A50" s="97">
        <f>DONNEES[[#This Row],[AM]]</f>
        <v>44893</v>
      </c>
      <c r="B50" s="95">
        <f>WEEKDAY(DONNEES[[#This Row],[JOUR]],2)</f>
        <v>1</v>
      </c>
      <c r="C50" s="99">
        <f>_xlfn.ISOWEEKNUM(DONNEES[[#This Row],[AM]]-1)</f>
        <v>47</v>
      </c>
      <c r="D50" s="92">
        <v>44893</v>
      </c>
      <c r="E50" s="93">
        <f>DONNEES[[#This Row],[AM]]+1</f>
        <v>44894</v>
      </c>
      <c r="F50" s="14" t="s">
        <v>37</v>
      </c>
      <c r="G50" s="85">
        <v>21</v>
      </c>
      <c r="H50" s="13">
        <v>1</v>
      </c>
      <c r="I50" s="103" t="s">
        <v>56</v>
      </c>
      <c r="J50" s="14" t="s">
        <v>39</v>
      </c>
      <c r="K50" s="15">
        <v>178.2</v>
      </c>
      <c r="L50" s="16"/>
      <c r="M50" s="16"/>
      <c r="N50" s="17"/>
      <c r="O50" s="11">
        <v>178.2</v>
      </c>
      <c r="P50" s="8"/>
      <c r="Q50" s="8"/>
      <c r="R50" s="8"/>
      <c r="S50" s="8"/>
      <c r="T50" s="8"/>
      <c r="U50" s="8"/>
      <c r="V50" s="8"/>
      <c r="W50" s="9">
        <v>0.9</v>
      </c>
      <c r="X50" s="7"/>
      <c r="Y50" s="9"/>
      <c r="Z50" s="6">
        <f>IF(SUM(O50:W50)=0,IF(DONNEES[[#This Row],[ACPTE RECU]]-DONNEES[[#This Row],[ACPTE RENDU]]=0,"",DONNEES[[#This Row],[ACPTE RECU]]-DONNEES[[#This Row],[ACPTE RENDU]]),SUM(O50:W50)+DONNEES[[#This Row],[ACPTE RECU]]-DONNEES[[#This Row],[ACPTE RENDU]])</f>
        <v>179.1</v>
      </c>
      <c r="AA50" s="12">
        <f>IF(DONNEES[[#This Row],[DEP
REC]]="D",DONNEES[[#This Row],[DEPART]],"")</f>
        <v>44894</v>
      </c>
      <c r="AB50" s="79">
        <v>179.1</v>
      </c>
      <c r="AC50" s="8"/>
      <c r="AD50" s="8"/>
      <c r="AE50" s="8"/>
      <c r="AF50" s="8"/>
      <c r="AG50" s="8"/>
      <c r="AH50" s="8"/>
      <c r="AI50" s="8"/>
      <c r="AJ50" s="9"/>
      <c r="AK50" s="54">
        <f t="shared" si="3"/>
        <v>179.1</v>
      </c>
      <c r="AL50" s="11"/>
      <c r="AM5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0" s="119">
        <f>IF(DONNEES[[#This Row],[DATE
PAIEMT]]="",0,DONNEES[[#This Row],[DATE
PAIEMT]])</f>
        <v>44894</v>
      </c>
    </row>
    <row r="51" spans="1:40" x14ac:dyDescent="0.25">
      <c r="A51" s="97">
        <f>DONNEES[[#This Row],[AM]]</f>
        <v>44893</v>
      </c>
      <c r="B51" s="95">
        <f>WEEKDAY(DONNEES[[#This Row],[JOUR]],2)</f>
        <v>1</v>
      </c>
      <c r="C51" s="99">
        <f>_xlfn.ISOWEEKNUM(DONNEES[[#This Row],[AM]]-1)</f>
        <v>47</v>
      </c>
      <c r="D51" s="92">
        <v>44893</v>
      </c>
      <c r="E51" s="93">
        <f>DONNEES[[#This Row],[AM]]+1</f>
        <v>44894</v>
      </c>
      <c r="F51" s="14" t="s">
        <v>37</v>
      </c>
      <c r="G51" s="85">
        <v>14</v>
      </c>
      <c r="H51" s="13">
        <v>1</v>
      </c>
      <c r="I51" s="103" t="s">
        <v>120</v>
      </c>
      <c r="J51" s="14" t="s">
        <v>39</v>
      </c>
      <c r="K51" s="15">
        <v>188.1</v>
      </c>
      <c r="L51" s="16">
        <v>1</v>
      </c>
      <c r="M51" s="16"/>
      <c r="N51" s="17"/>
      <c r="O51" s="11">
        <v>188.1</v>
      </c>
      <c r="P51" s="8">
        <v>12</v>
      </c>
      <c r="Q51" s="8"/>
      <c r="R51" s="8"/>
      <c r="S51" s="8"/>
      <c r="T51" s="8"/>
      <c r="U51" s="8"/>
      <c r="V51" s="8"/>
      <c r="W51" s="9">
        <v>0.9</v>
      </c>
      <c r="X51" s="7"/>
      <c r="Y51" s="9"/>
      <c r="Z51" s="6">
        <f>IF(SUM(O51:W51)=0,IF(DONNEES[[#This Row],[ACPTE RECU]]-DONNEES[[#This Row],[ACPTE RENDU]]=0,"",DONNEES[[#This Row],[ACPTE RECU]]-DONNEES[[#This Row],[ACPTE RENDU]]),SUM(O51:W51)+DONNEES[[#This Row],[ACPTE RECU]]-DONNEES[[#This Row],[ACPTE RENDU]])</f>
        <v>201</v>
      </c>
      <c r="AA51" s="12">
        <f>IF(DONNEES[[#This Row],[DEP
REC]]="D",DONNEES[[#This Row],[DEPART]],"")</f>
        <v>44894</v>
      </c>
      <c r="AB51" s="79">
        <v>201</v>
      </c>
      <c r="AC51" s="8"/>
      <c r="AD51" s="8"/>
      <c r="AE51" s="8"/>
      <c r="AF51" s="8"/>
      <c r="AG51" s="8"/>
      <c r="AH51" s="8"/>
      <c r="AI51" s="8"/>
      <c r="AJ51" s="9"/>
      <c r="AK51" s="54">
        <f t="shared" si="3"/>
        <v>201</v>
      </c>
      <c r="AL51" s="11"/>
      <c r="AM5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1" s="119">
        <f>IF(DONNEES[[#This Row],[DATE
PAIEMT]]="",0,DONNEES[[#This Row],[DATE
PAIEMT]])</f>
        <v>44894</v>
      </c>
    </row>
    <row r="52" spans="1:40" x14ac:dyDescent="0.25">
      <c r="A52" s="97">
        <f>DONNEES[[#This Row],[AM]]</f>
        <v>44893</v>
      </c>
      <c r="B52" s="95">
        <f>WEEKDAY(DONNEES[[#This Row],[JOUR]],2)</f>
        <v>1</v>
      </c>
      <c r="C52" s="99">
        <f>_xlfn.ISOWEEKNUM(DONNEES[[#This Row],[AM]]-1)</f>
        <v>47</v>
      </c>
      <c r="D52" s="92">
        <v>44893</v>
      </c>
      <c r="E52" s="93">
        <f>DONNEES[[#This Row],[AM]]+1</f>
        <v>44894</v>
      </c>
      <c r="F52" s="14" t="s">
        <v>38</v>
      </c>
      <c r="G52" s="85">
        <v>1</v>
      </c>
      <c r="H52" s="13">
        <v>1</v>
      </c>
      <c r="I52" s="103" t="s">
        <v>95</v>
      </c>
      <c r="J52" s="14" t="s">
        <v>21</v>
      </c>
      <c r="K52" s="15">
        <v>135</v>
      </c>
      <c r="L52" s="16">
        <v>1</v>
      </c>
      <c r="M52" s="16"/>
      <c r="N52" s="17"/>
      <c r="O52" s="11"/>
      <c r="P52" s="8"/>
      <c r="Q52" s="8"/>
      <c r="R52" s="8"/>
      <c r="S52" s="8"/>
      <c r="T52" s="8"/>
      <c r="U52" s="8"/>
      <c r="V52" s="8"/>
      <c r="W52" s="9"/>
      <c r="X52" s="7"/>
      <c r="Y52" s="9"/>
      <c r="Z52" s="6" t="str">
        <f>IF(SUM(O52:W52)=0,IF(DONNEES[[#This Row],[ACPTE RECU]]-DONNEES[[#This Row],[ACPTE RENDU]]=0,"",DONNEES[[#This Row],[ACPTE RECU]]-DONNEES[[#This Row],[ACPTE RENDU]]),SUM(O52:W52)+DONNEES[[#This Row],[ACPTE RECU]]-DONNEES[[#This Row],[ACPTE RENDU]])</f>
        <v/>
      </c>
      <c r="AA52" s="12" t="str">
        <f>IF(DONNEES[[#This Row],[DEP
REC]]="D",DONNEES[[#This Row],[DEPART]],"")</f>
        <v/>
      </c>
      <c r="AB52" s="53"/>
      <c r="AC52" s="8"/>
      <c r="AD52" s="8"/>
      <c r="AE52" s="8"/>
      <c r="AF52" s="8"/>
      <c r="AG52" s="8"/>
      <c r="AH52" s="8"/>
      <c r="AI52" s="8"/>
      <c r="AJ52" s="9"/>
      <c r="AK52" s="54" t="str">
        <f t="shared" si="3"/>
        <v/>
      </c>
      <c r="AL52" s="11"/>
      <c r="AM5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2" s="119">
        <f>IF(DONNEES[[#This Row],[DATE
PAIEMT]]="",0,DONNEES[[#This Row],[DATE
PAIEMT]])</f>
        <v>0</v>
      </c>
    </row>
    <row r="53" spans="1:40" x14ac:dyDescent="0.25">
      <c r="A53" s="97">
        <f>DONNEES[[#This Row],[AM]]</f>
        <v>44893</v>
      </c>
      <c r="B53" s="95">
        <f>WEEKDAY(DONNEES[[#This Row],[JOUR]],2)</f>
        <v>1</v>
      </c>
      <c r="C53" s="99">
        <f>_xlfn.ISOWEEKNUM(DONNEES[[#This Row],[AM]]-1)</f>
        <v>47</v>
      </c>
      <c r="D53" s="92">
        <v>44893</v>
      </c>
      <c r="E53" s="93">
        <f>DONNEES[[#This Row],[AM]]+1</f>
        <v>44894</v>
      </c>
      <c r="F53" s="14" t="s">
        <v>38</v>
      </c>
      <c r="G53" s="85">
        <v>26</v>
      </c>
      <c r="H53" s="13">
        <v>1</v>
      </c>
      <c r="I53" s="103" t="s">
        <v>117</v>
      </c>
      <c r="J53" s="14" t="s">
        <v>21</v>
      </c>
      <c r="K53" s="15">
        <v>150</v>
      </c>
      <c r="L53" s="16">
        <v>1</v>
      </c>
      <c r="M53" s="16"/>
      <c r="N53" s="17"/>
      <c r="O53" s="11"/>
      <c r="P53" s="8"/>
      <c r="Q53" s="8"/>
      <c r="R53" s="8"/>
      <c r="S53" s="8"/>
      <c r="T53" s="8"/>
      <c r="U53" s="8"/>
      <c r="V53" s="8"/>
      <c r="W53" s="9"/>
      <c r="X53" s="7"/>
      <c r="Y53" s="9"/>
      <c r="Z53" s="6" t="str">
        <f>IF(SUM(O53:W53)=0,IF(DONNEES[[#This Row],[ACPTE RECU]]-DONNEES[[#This Row],[ACPTE RENDU]]=0,"",DONNEES[[#This Row],[ACPTE RECU]]-DONNEES[[#This Row],[ACPTE RENDU]]),SUM(O53:W53)+DONNEES[[#This Row],[ACPTE RECU]]-DONNEES[[#This Row],[ACPTE RENDU]])</f>
        <v/>
      </c>
      <c r="AA53" s="12" t="str">
        <f>IF(DONNEES[[#This Row],[DEP
REC]]="D",DONNEES[[#This Row],[DEPART]],"")</f>
        <v/>
      </c>
      <c r="AB53" s="53"/>
      <c r="AC53" s="8"/>
      <c r="AD53" s="8"/>
      <c r="AE53" s="8"/>
      <c r="AF53" s="8"/>
      <c r="AG53" s="8"/>
      <c r="AH53" s="8"/>
      <c r="AI53" s="8"/>
      <c r="AJ53" s="9"/>
      <c r="AK53" s="54" t="str">
        <f t="shared" si="3"/>
        <v/>
      </c>
      <c r="AL53" s="11"/>
      <c r="AM5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3" s="119">
        <f>IF(DONNEES[[#This Row],[DATE
PAIEMT]]="",0,DONNEES[[#This Row],[DATE
PAIEMT]])</f>
        <v>0</v>
      </c>
    </row>
    <row r="54" spans="1:40" x14ac:dyDescent="0.25">
      <c r="A54" s="97">
        <f>DONNEES[[#This Row],[AM]]</f>
        <v>44893</v>
      </c>
      <c r="B54" s="95">
        <f>WEEKDAY(DONNEES[[#This Row],[JOUR]],2)</f>
        <v>1</v>
      </c>
      <c r="C54" s="99">
        <f>_xlfn.ISOWEEKNUM(DONNEES[[#This Row],[AM]]-1)</f>
        <v>47</v>
      </c>
      <c r="D54" s="92">
        <v>44893</v>
      </c>
      <c r="E54" s="93">
        <f>DONNEES[[#This Row],[AM]]+1</f>
        <v>44894</v>
      </c>
      <c r="F54" s="14" t="s">
        <v>38</v>
      </c>
      <c r="G54" s="85">
        <v>22</v>
      </c>
      <c r="H54" s="13">
        <v>1</v>
      </c>
      <c r="I54" s="103" t="s">
        <v>118</v>
      </c>
      <c r="J54" s="14" t="s">
        <v>21</v>
      </c>
      <c r="K54" s="15">
        <v>185</v>
      </c>
      <c r="L54" s="16">
        <v>1</v>
      </c>
      <c r="M54" s="16"/>
      <c r="N54" s="17">
        <v>8</v>
      </c>
      <c r="O54" s="11"/>
      <c r="P54" s="8"/>
      <c r="Q54" s="8"/>
      <c r="R54" s="8"/>
      <c r="S54" s="8"/>
      <c r="T54" s="8"/>
      <c r="U54" s="8"/>
      <c r="V54" s="8"/>
      <c r="W54" s="9"/>
      <c r="X54" s="7"/>
      <c r="Y54" s="9"/>
      <c r="Z54" s="6" t="str">
        <f>IF(SUM(O54:W54)=0,IF(DONNEES[[#This Row],[ACPTE RECU]]-DONNEES[[#This Row],[ACPTE RENDU]]=0,"",DONNEES[[#This Row],[ACPTE RECU]]-DONNEES[[#This Row],[ACPTE RENDU]]),SUM(O54:W54)+DONNEES[[#This Row],[ACPTE RECU]]-DONNEES[[#This Row],[ACPTE RENDU]])</f>
        <v/>
      </c>
      <c r="AA54" s="12" t="str">
        <f>IF(DONNEES[[#This Row],[DEP
REC]]="D",DONNEES[[#This Row],[DEPART]],"")</f>
        <v/>
      </c>
      <c r="AB54" s="53"/>
      <c r="AC54" s="8"/>
      <c r="AD54" s="8"/>
      <c r="AE54" s="8"/>
      <c r="AF54" s="8"/>
      <c r="AG54" s="8"/>
      <c r="AH54" s="8"/>
      <c r="AI54" s="8"/>
      <c r="AJ54" s="9"/>
      <c r="AK54" s="54" t="str">
        <f t="shared" si="3"/>
        <v/>
      </c>
      <c r="AL54" s="11"/>
      <c r="AM5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4" s="119">
        <f>IF(DONNEES[[#This Row],[DATE
PAIEMT]]="",0,DONNEES[[#This Row],[DATE
PAIEMT]])</f>
        <v>0</v>
      </c>
    </row>
    <row r="55" spans="1:40" x14ac:dyDescent="0.25">
      <c r="A55" s="97">
        <f>DONNEES[[#This Row],[AM]]</f>
        <v>44893</v>
      </c>
      <c r="B55" s="95">
        <f>WEEKDAY(DONNEES[[#This Row],[JOUR]],2)</f>
        <v>1</v>
      </c>
      <c r="C55" s="99">
        <f>_xlfn.ISOWEEKNUM(DONNEES[[#This Row],[AM]]-1)</f>
        <v>47</v>
      </c>
      <c r="D55" s="92">
        <v>44893</v>
      </c>
      <c r="E55" s="93">
        <f>DONNEES[[#This Row],[AM]]+1</f>
        <v>44894</v>
      </c>
      <c r="F55" s="14" t="s">
        <v>38</v>
      </c>
      <c r="G55" s="85">
        <v>25</v>
      </c>
      <c r="H55" s="13">
        <v>2</v>
      </c>
      <c r="I55" s="103" t="s">
        <v>119</v>
      </c>
      <c r="J55" s="14" t="s">
        <v>39</v>
      </c>
      <c r="K55" s="15">
        <v>188.1</v>
      </c>
      <c r="L55" s="16">
        <v>2</v>
      </c>
      <c r="M55" s="16"/>
      <c r="N55" s="17"/>
      <c r="O55" s="11"/>
      <c r="P55" s="8"/>
      <c r="Q55" s="8"/>
      <c r="R55" s="8"/>
      <c r="S55" s="8"/>
      <c r="T55" s="8"/>
      <c r="U55" s="8"/>
      <c r="V55" s="8"/>
      <c r="W55" s="9"/>
      <c r="X55" s="7"/>
      <c r="Y55" s="9"/>
      <c r="Z55" s="6" t="str">
        <f>IF(SUM(O55:W55)=0,IF(DONNEES[[#This Row],[ACPTE RECU]]-DONNEES[[#This Row],[ACPTE RENDU]]=0,"",DONNEES[[#This Row],[ACPTE RECU]]-DONNEES[[#This Row],[ACPTE RENDU]]),SUM(O55:W55)+DONNEES[[#This Row],[ACPTE RECU]]-DONNEES[[#This Row],[ACPTE RENDU]])</f>
        <v/>
      </c>
      <c r="AA55" s="12" t="str">
        <f>IF(DONNEES[[#This Row],[DEP
REC]]="D",DONNEES[[#This Row],[DEPART]],"")</f>
        <v/>
      </c>
      <c r="AB55" s="53"/>
      <c r="AC55" s="8"/>
      <c r="AD55" s="8"/>
      <c r="AE55" s="8"/>
      <c r="AF55" s="8"/>
      <c r="AG55" s="8"/>
      <c r="AH55" s="8"/>
      <c r="AI55" s="8"/>
      <c r="AJ55" s="9"/>
      <c r="AK55" s="54" t="str">
        <f t="shared" si="3"/>
        <v/>
      </c>
      <c r="AL55" s="11"/>
      <c r="AM5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5" s="119">
        <f>IF(DONNEES[[#This Row],[DATE
PAIEMT]]="",0,DONNEES[[#This Row],[DATE
PAIEMT]])</f>
        <v>0</v>
      </c>
    </row>
    <row r="56" spans="1:40" x14ac:dyDescent="0.25">
      <c r="A56" s="97">
        <f>DONNEES[[#This Row],[AM]]</f>
        <v>44894</v>
      </c>
      <c r="B56" s="95">
        <f>WEEKDAY(DONNEES[[#This Row],[JOUR]],2)</f>
        <v>2</v>
      </c>
      <c r="C56" s="99">
        <f>_xlfn.ISOWEEKNUM(DONNEES[[#This Row],[AM]]-1)</f>
        <v>48</v>
      </c>
      <c r="D56" s="92">
        <v>44894</v>
      </c>
      <c r="E56" s="93">
        <f>DONNEES[[#This Row],[AM]]+1</f>
        <v>44895</v>
      </c>
      <c r="F56" s="14" t="s">
        <v>37</v>
      </c>
      <c r="G56" s="85">
        <v>21</v>
      </c>
      <c r="H56" s="13">
        <v>1</v>
      </c>
      <c r="I56" s="103" t="s">
        <v>125</v>
      </c>
      <c r="J56" s="14" t="s">
        <v>39</v>
      </c>
      <c r="K56" s="15">
        <v>198</v>
      </c>
      <c r="L56" s="16">
        <v>1</v>
      </c>
      <c r="M56" s="16"/>
      <c r="N56" s="17"/>
      <c r="O56" s="11">
        <v>210</v>
      </c>
      <c r="P56" s="8"/>
      <c r="Q56" s="8"/>
      <c r="R56" s="8"/>
      <c r="S56" s="8"/>
      <c r="T56" s="8"/>
      <c r="U56" s="8"/>
      <c r="V56" s="8"/>
      <c r="W56" s="9">
        <v>0.9</v>
      </c>
      <c r="X56" s="7"/>
      <c r="Y56" s="9"/>
      <c r="Z56" s="6">
        <f>IF(SUM(O56:W56)=0,IF(DONNEES[[#This Row],[ACPTE RECU]]-DONNEES[[#This Row],[ACPTE RENDU]]=0,"",DONNEES[[#This Row],[ACPTE RECU]]-DONNEES[[#This Row],[ACPTE RENDU]]),SUM(O56:W56)+DONNEES[[#This Row],[ACPTE RECU]]-DONNEES[[#This Row],[ACPTE RENDU]])</f>
        <v>210.9</v>
      </c>
      <c r="AA56" s="12">
        <v>44894</v>
      </c>
      <c r="AB56" s="79">
        <v>210.9</v>
      </c>
      <c r="AC56" s="8"/>
      <c r="AD56" s="8"/>
      <c r="AE56" s="8"/>
      <c r="AF56" s="8"/>
      <c r="AG56" s="8"/>
      <c r="AH56" s="8"/>
      <c r="AI56" s="8"/>
      <c r="AJ56" s="9"/>
      <c r="AK56" s="54">
        <f t="shared" si="3"/>
        <v>210.9</v>
      </c>
      <c r="AL56" s="11"/>
      <c r="AM5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6" s="119">
        <f>IF(DONNEES[[#This Row],[DATE
PAIEMT]]="",0,DONNEES[[#This Row],[DATE
PAIEMT]])</f>
        <v>44894</v>
      </c>
    </row>
    <row r="57" spans="1:40" x14ac:dyDescent="0.25">
      <c r="A57" s="97">
        <f>DONNEES[[#This Row],[AM]]</f>
        <v>44894</v>
      </c>
      <c r="B57" s="95">
        <f>WEEKDAY(DONNEES[[#This Row],[JOUR]],2)</f>
        <v>2</v>
      </c>
      <c r="C57" s="99">
        <f>_xlfn.ISOWEEKNUM(DONNEES[[#This Row],[AM]]-1)</f>
        <v>48</v>
      </c>
      <c r="D57" s="92">
        <v>44894</v>
      </c>
      <c r="E57" s="93">
        <f>DONNEES[[#This Row],[AM]]+1</f>
        <v>44895</v>
      </c>
      <c r="F57" s="14" t="s">
        <v>37</v>
      </c>
      <c r="G57" s="85">
        <v>24</v>
      </c>
      <c r="H57" s="13">
        <v>1</v>
      </c>
      <c r="I57" s="103" t="s">
        <v>128</v>
      </c>
      <c r="J57" s="14" t="s">
        <v>39</v>
      </c>
      <c r="K57" s="15">
        <v>213.3</v>
      </c>
      <c r="L57" s="16"/>
      <c r="M57" s="16"/>
      <c r="N57" s="17"/>
      <c r="O57" s="11">
        <v>213.3</v>
      </c>
      <c r="P57" s="8"/>
      <c r="Q57" s="8"/>
      <c r="R57" s="8"/>
      <c r="S57" s="8"/>
      <c r="T57" s="8"/>
      <c r="U57" s="8"/>
      <c r="V57" s="8"/>
      <c r="W57" s="9">
        <v>0.9</v>
      </c>
      <c r="X57" s="7"/>
      <c r="Y57" s="9"/>
      <c r="Z57" s="6">
        <f>IF(SUM(O57:W57)=0,IF(DONNEES[[#This Row],[ACPTE RECU]]-DONNEES[[#This Row],[ACPTE RENDU]]=0,"",DONNEES[[#This Row],[ACPTE RECU]]-DONNEES[[#This Row],[ACPTE RENDU]]),SUM(O57:W57)+DONNEES[[#This Row],[ACPTE RECU]]-DONNEES[[#This Row],[ACPTE RENDU]])</f>
        <v>214.20000000000002</v>
      </c>
      <c r="AA57" s="12">
        <v>44894</v>
      </c>
      <c r="AB57" s="53"/>
      <c r="AC57" s="8"/>
      <c r="AD57" s="8"/>
      <c r="AE57" s="8"/>
      <c r="AF57" s="8"/>
      <c r="AG57" s="8"/>
      <c r="AH57" s="8">
        <v>214.2</v>
      </c>
      <c r="AI57" s="8"/>
      <c r="AJ57" s="9"/>
      <c r="AK57" s="54">
        <f t="shared" si="3"/>
        <v>214.2</v>
      </c>
      <c r="AL57" s="11"/>
      <c r="AM5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7" s="119">
        <f>IF(DONNEES[[#This Row],[DATE
PAIEMT]]="",0,DONNEES[[#This Row],[DATE
PAIEMT]])</f>
        <v>44894</v>
      </c>
    </row>
    <row r="58" spans="1:40" x14ac:dyDescent="0.25">
      <c r="A58" s="97">
        <f>DONNEES[[#This Row],[AM]]</f>
        <v>44894</v>
      </c>
      <c r="B58" s="95">
        <f>WEEKDAY(DONNEES[[#This Row],[JOUR]],2)</f>
        <v>2</v>
      </c>
      <c r="C58" s="99">
        <f>_xlfn.ISOWEEKNUM(DONNEES[[#This Row],[AM]]-1)</f>
        <v>48</v>
      </c>
      <c r="D58" s="92">
        <v>44894</v>
      </c>
      <c r="E58" s="93">
        <f>DONNEES[[#This Row],[AM]]+1</f>
        <v>44895</v>
      </c>
      <c r="F58" s="14" t="s">
        <v>37</v>
      </c>
      <c r="G58" s="85">
        <v>1</v>
      </c>
      <c r="H58" s="13">
        <v>1</v>
      </c>
      <c r="I58" s="103" t="s">
        <v>95</v>
      </c>
      <c r="J58" s="14" t="s">
        <v>21</v>
      </c>
      <c r="K58" s="15">
        <v>135</v>
      </c>
      <c r="L58" s="16">
        <v>1</v>
      </c>
      <c r="M58" s="16"/>
      <c r="N58" s="17"/>
      <c r="O58" s="11">
        <f>135*2</f>
        <v>270</v>
      </c>
      <c r="P58" s="8">
        <v>24</v>
      </c>
      <c r="Q58" s="8"/>
      <c r="R58" s="8"/>
      <c r="S58" s="8"/>
      <c r="T58" s="8"/>
      <c r="U58" s="8"/>
      <c r="V58" s="8"/>
      <c r="W58" s="9">
        <v>1.8</v>
      </c>
      <c r="X58" s="7"/>
      <c r="Y58" s="9"/>
      <c r="Z58" s="6">
        <f>IF(SUM(O58:W58)=0,IF(DONNEES[[#This Row],[ACPTE RECU]]-DONNEES[[#This Row],[ACPTE RENDU]]=0,"",DONNEES[[#This Row],[ACPTE RECU]]-DONNEES[[#This Row],[ACPTE RENDU]]),SUM(O58:W58)+DONNEES[[#This Row],[ACPTE RECU]]-DONNEES[[#This Row],[ACPTE RENDU]])</f>
        <v>295.8</v>
      </c>
      <c r="AA58" s="12">
        <f>IF(DONNEES[[#This Row],[DEP
REC]]="D",DONNEES[[#This Row],[DEPART]],"")</f>
        <v>44895</v>
      </c>
      <c r="AB58" s="79">
        <v>295.8</v>
      </c>
      <c r="AC58" s="8"/>
      <c r="AD58" s="8"/>
      <c r="AE58" s="8"/>
      <c r="AF58" s="8"/>
      <c r="AG58" s="8"/>
      <c r="AH58" s="8"/>
      <c r="AI58" s="8"/>
      <c r="AJ58" s="9"/>
      <c r="AK58" s="54">
        <f t="shared" si="3"/>
        <v>295.8</v>
      </c>
      <c r="AL58" s="11"/>
      <c r="AM5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8" s="119">
        <f>IF(DONNEES[[#This Row],[DATE
PAIEMT]]="",0,DONNEES[[#This Row],[DATE
PAIEMT]])</f>
        <v>44895</v>
      </c>
    </row>
    <row r="59" spans="1:40" x14ac:dyDescent="0.25">
      <c r="A59" s="97">
        <f>DONNEES[[#This Row],[AM]]</f>
        <v>44894</v>
      </c>
      <c r="B59" s="95">
        <f>WEEKDAY(DONNEES[[#This Row],[JOUR]],2)</f>
        <v>2</v>
      </c>
      <c r="C59" s="99">
        <f>_xlfn.ISOWEEKNUM(DONNEES[[#This Row],[AM]]-1)</f>
        <v>48</v>
      </c>
      <c r="D59" s="92">
        <v>44894</v>
      </c>
      <c r="E59" s="93">
        <f>DONNEES[[#This Row],[AM]]+1</f>
        <v>44895</v>
      </c>
      <c r="F59" s="14" t="s">
        <v>37</v>
      </c>
      <c r="G59" s="85">
        <v>26</v>
      </c>
      <c r="H59" s="13">
        <v>1</v>
      </c>
      <c r="I59" s="103" t="s">
        <v>117</v>
      </c>
      <c r="J59" s="14" t="s">
        <v>21</v>
      </c>
      <c r="K59" s="15">
        <v>165</v>
      </c>
      <c r="L59" s="16">
        <v>1</v>
      </c>
      <c r="M59" s="16"/>
      <c r="N59" s="17"/>
      <c r="O59" s="11">
        <f>150+165</f>
        <v>315</v>
      </c>
      <c r="P59" s="8">
        <v>24</v>
      </c>
      <c r="Q59" s="8"/>
      <c r="R59" s="8"/>
      <c r="S59" s="8"/>
      <c r="T59" s="8"/>
      <c r="U59" s="8"/>
      <c r="V59" s="8"/>
      <c r="W59" s="9">
        <v>1.8</v>
      </c>
      <c r="X59" s="7"/>
      <c r="Y59" s="9"/>
      <c r="Z59" s="6">
        <f>IF(SUM(O59:W59)=0,IF(DONNEES[[#This Row],[ACPTE RECU]]-DONNEES[[#This Row],[ACPTE RENDU]]=0,"",DONNEES[[#This Row],[ACPTE RECU]]-DONNEES[[#This Row],[ACPTE RENDU]]),SUM(O59:W59)+DONNEES[[#This Row],[ACPTE RECU]]-DONNEES[[#This Row],[ACPTE RENDU]])</f>
        <v>340.8</v>
      </c>
      <c r="AA59" s="12">
        <f>IF(DONNEES[[#This Row],[DEP
REC]]="D",DONNEES[[#This Row],[DEPART]],"")</f>
        <v>44895</v>
      </c>
      <c r="AB59" s="53"/>
      <c r="AC59" s="8"/>
      <c r="AD59" s="8"/>
      <c r="AE59" s="58">
        <v>340.8</v>
      </c>
      <c r="AF59" s="8"/>
      <c r="AG59" s="8"/>
      <c r="AH59" s="8"/>
      <c r="AI59" s="8"/>
      <c r="AJ59" s="9"/>
      <c r="AK59" s="54">
        <f t="shared" si="3"/>
        <v>340.8</v>
      </c>
      <c r="AL59" s="11"/>
      <c r="AM5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59" s="119">
        <f>IF(DONNEES[[#This Row],[DATE
PAIEMT]]="",0,DONNEES[[#This Row],[DATE
PAIEMT]])</f>
        <v>44895</v>
      </c>
    </row>
    <row r="60" spans="1:40" x14ac:dyDescent="0.25">
      <c r="A60" s="97">
        <f>DONNEES[[#This Row],[AM]]</f>
        <v>44894</v>
      </c>
      <c r="B60" s="95">
        <f>WEEKDAY(DONNEES[[#This Row],[JOUR]],2)</f>
        <v>2</v>
      </c>
      <c r="C60" s="99">
        <f>_xlfn.ISOWEEKNUM(DONNEES[[#This Row],[AM]]-1)</f>
        <v>48</v>
      </c>
      <c r="D60" s="92">
        <v>44894</v>
      </c>
      <c r="E60" s="93">
        <f>DONNEES[[#This Row],[AM]]+1</f>
        <v>44895</v>
      </c>
      <c r="F60" s="14" t="s">
        <v>37</v>
      </c>
      <c r="G60" s="85">
        <v>6</v>
      </c>
      <c r="H60" s="13">
        <v>1</v>
      </c>
      <c r="I60" s="103" t="s">
        <v>126</v>
      </c>
      <c r="J60" s="14" t="s">
        <v>21</v>
      </c>
      <c r="K60" s="15">
        <v>170</v>
      </c>
      <c r="L60" s="16"/>
      <c r="M60" s="16"/>
      <c r="N60" s="17"/>
      <c r="O60" s="11">
        <v>170</v>
      </c>
      <c r="P60" s="8"/>
      <c r="Q60" s="8"/>
      <c r="R60" s="8"/>
      <c r="S60" s="8"/>
      <c r="T60" s="8"/>
      <c r="U60" s="8"/>
      <c r="V60" s="8"/>
      <c r="W60" s="9">
        <v>0.9</v>
      </c>
      <c r="X60" s="7"/>
      <c r="Y60" s="9"/>
      <c r="Z60" s="6">
        <f>IF(SUM(O60:W60)=0,IF(DONNEES[[#This Row],[ACPTE RECU]]-DONNEES[[#This Row],[ACPTE RENDU]]=0,"",DONNEES[[#This Row],[ACPTE RECU]]-DONNEES[[#This Row],[ACPTE RENDU]]),SUM(O60:W60)+DONNEES[[#This Row],[ACPTE RECU]]-DONNEES[[#This Row],[ACPTE RENDU]])</f>
        <v>170.9</v>
      </c>
      <c r="AA60" s="12">
        <f>IF(DONNEES[[#This Row],[DEP
REC]]="D",DONNEES[[#This Row],[DEPART]],"")</f>
        <v>44895</v>
      </c>
      <c r="AB60" s="53"/>
      <c r="AC60" s="58">
        <v>170.9</v>
      </c>
      <c r="AD60" s="8"/>
      <c r="AE60" s="8"/>
      <c r="AF60" s="8"/>
      <c r="AG60" s="8"/>
      <c r="AH60" s="8"/>
      <c r="AI60" s="8"/>
      <c r="AJ60" s="9"/>
      <c r="AK60" s="54">
        <f t="shared" si="3"/>
        <v>170.9</v>
      </c>
      <c r="AL60" s="11"/>
      <c r="AM6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0" s="119">
        <f>IF(DONNEES[[#This Row],[DATE
PAIEMT]]="",0,DONNEES[[#This Row],[DATE
PAIEMT]])</f>
        <v>44895</v>
      </c>
    </row>
    <row r="61" spans="1:40" x14ac:dyDescent="0.25">
      <c r="A61" s="97">
        <f>DONNEES[[#This Row],[AM]]</f>
        <v>44894</v>
      </c>
      <c r="B61" s="95">
        <f>WEEKDAY(DONNEES[[#This Row],[JOUR]],2)</f>
        <v>2</v>
      </c>
      <c r="C61" s="99">
        <f>_xlfn.ISOWEEKNUM(DONNEES[[#This Row],[AM]]-1)</f>
        <v>48</v>
      </c>
      <c r="D61" s="92">
        <v>44894</v>
      </c>
      <c r="E61" s="93">
        <f>DONNEES[[#This Row],[AM]]+1</f>
        <v>44895</v>
      </c>
      <c r="F61" s="14" t="s">
        <v>37</v>
      </c>
      <c r="G61" s="85">
        <v>14</v>
      </c>
      <c r="H61" s="13">
        <v>1</v>
      </c>
      <c r="I61" s="103" t="s">
        <v>127</v>
      </c>
      <c r="J61" s="14" t="s">
        <v>39</v>
      </c>
      <c r="K61" s="15">
        <v>254.7</v>
      </c>
      <c r="L61" s="16">
        <v>1</v>
      </c>
      <c r="M61" s="16">
        <v>1</v>
      </c>
      <c r="N61" s="17"/>
      <c r="O61" s="11">
        <v>254.7</v>
      </c>
      <c r="P61" s="8">
        <v>12</v>
      </c>
      <c r="Q61" s="8"/>
      <c r="R61" s="8"/>
      <c r="S61" s="8"/>
      <c r="T61" s="8">
        <v>15</v>
      </c>
      <c r="U61" s="8"/>
      <c r="V61" s="8"/>
      <c r="W61" s="9">
        <v>0.9</v>
      </c>
      <c r="X61" s="7"/>
      <c r="Y61" s="9"/>
      <c r="Z61" s="6">
        <f>IF(SUM(O61:W61)=0,IF(DONNEES[[#This Row],[ACPTE RECU]]-DONNEES[[#This Row],[ACPTE RENDU]]=0,"",DONNEES[[#This Row],[ACPTE RECU]]-DONNEES[[#This Row],[ACPTE RENDU]]),SUM(O61:W61)+DONNEES[[#This Row],[ACPTE RECU]]-DONNEES[[#This Row],[ACPTE RENDU]])</f>
        <v>282.59999999999997</v>
      </c>
      <c r="AA61" s="12">
        <f>IF(DONNEES[[#This Row],[DEP
REC]]="D",DONNEES[[#This Row],[DEPART]],"")</f>
        <v>44895</v>
      </c>
      <c r="AB61" s="79">
        <v>282.60000000000002</v>
      </c>
      <c r="AC61" s="8"/>
      <c r="AD61" s="8"/>
      <c r="AE61" s="8"/>
      <c r="AF61" s="8"/>
      <c r="AG61" s="8"/>
      <c r="AH61" s="8"/>
      <c r="AI61" s="8"/>
      <c r="AJ61" s="9"/>
      <c r="AK61" s="54">
        <f t="shared" si="3"/>
        <v>282.60000000000002</v>
      </c>
      <c r="AL61" s="11"/>
      <c r="AM6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1" s="119">
        <f>IF(DONNEES[[#This Row],[DATE
PAIEMT]]="",0,DONNEES[[#This Row],[DATE
PAIEMT]])</f>
        <v>44895</v>
      </c>
    </row>
    <row r="62" spans="1:40" x14ac:dyDescent="0.25">
      <c r="A62" s="97">
        <f>DONNEES[[#This Row],[AM]]</f>
        <v>44894</v>
      </c>
      <c r="B62" s="95">
        <f>WEEKDAY(DONNEES[[#This Row],[JOUR]],2)</f>
        <v>2</v>
      </c>
      <c r="C62" s="99">
        <f>_xlfn.ISOWEEKNUM(DONNEES[[#This Row],[AM]]-1)</f>
        <v>48</v>
      </c>
      <c r="D62" s="92">
        <v>44894</v>
      </c>
      <c r="E62" s="93">
        <f>DONNEES[[#This Row],[AM]]+1</f>
        <v>44895</v>
      </c>
      <c r="F62" s="14" t="s">
        <v>37</v>
      </c>
      <c r="G62" s="85">
        <v>15</v>
      </c>
      <c r="H62" s="13">
        <v>1</v>
      </c>
      <c r="I62" s="103" t="s">
        <v>78</v>
      </c>
      <c r="J62" s="14" t="s">
        <v>39</v>
      </c>
      <c r="K62" s="15">
        <v>203</v>
      </c>
      <c r="L62" s="16">
        <v>1</v>
      </c>
      <c r="M62" s="16"/>
      <c r="N62" s="17"/>
      <c r="O62" s="11">
        <v>203</v>
      </c>
      <c r="P62" s="8">
        <v>12</v>
      </c>
      <c r="Q62" s="8"/>
      <c r="R62" s="8"/>
      <c r="S62" s="8"/>
      <c r="T62" s="8"/>
      <c r="U62" s="8"/>
      <c r="V62" s="8"/>
      <c r="W62" s="9">
        <v>0.9</v>
      </c>
      <c r="X62" s="7"/>
      <c r="Y62" s="9"/>
      <c r="Z62" s="6">
        <f>IF(SUM(O62:W62)=0,IF(DONNEES[[#This Row],[ACPTE RECU]]-DONNEES[[#This Row],[ACPTE RENDU]]=0,"",DONNEES[[#This Row],[ACPTE RECU]]-DONNEES[[#This Row],[ACPTE RENDU]]),SUM(O62:W62)+DONNEES[[#This Row],[ACPTE RECU]]-DONNEES[[#This Row],[ACPTE RENDU]])</f>
        <v>215.9</v>
      </c>
      <c r="AA62" s="12">
        <f>IF(DONNEES[[#This Row],[DEP
REC]]="D",DONNEES[[#This Row],[DEPART]],"")</f>
        <v>44895</v>
      </c>
      <c r="AB62" s="79">
        <v>215.9</v>
      </c>
      <c r="AC62" s="8"/>
      <c r="AD62" s="8"/>
      <c r="AE62" s="8"/>
      <c r="AF62" s="8"/>
      <c r="AG62" s="8"/>
      <c r="AH62" s="8"/>
      <c r="AI62" s="8"/>
      <c r="AJ62" s="9"/>
      <c r="AK62" s="54">
        <f t="shared" si="3"/>
        <v>215.9</v>
      </c>
      <c r="AL62" s="11"/>
      <c r="AM6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2" s="119">
        <f>IF(DONNEES[[#This Row],[DATE
PAIEMT]]="",0,DONNEES[[#This Row],[DATE
PAIEMT]])</f>
        <v>44895</v>
      </c>
    </row>
    <row r="63" spans="1:40" x14ac:dyDescent="0.25">
      <c r="A63" s="97">
        <f>DONNEES[[#This Row],[AM]]</f>
        <v>44894</v>
      </c>
      <c r="B63" s="95">
        <f>WEEKDAY(DONNEES[[#This Row],[JOUR]],2)</f>
        <v>2</v>
      </c>
      <c r="C63" s="99">
        <f>_xlfn.ISOWEEKNUM(DONNEES[[#This Row],[AM]]-1)</f>
        <v>48</v>
      </c>
      <c r="D63" s="92">
        <v>44894</v>
      </c>
      <c r="E63" s="93">
        <f>DONNEES[[#This Row],[AM]]+1</f>
        <v>44895</v>
      </c>
      <c r="F63" s="14" t="s">
        <v>37</v>
      </c>
      <c r="G63" s="85">
        <v>16</v>
      </c>
      <c r="H63" s="13">
        <v>2</v>
      </c>
      <c r="I63" s="103" t="s">
        <v>70</v>
      </c>
      <c r="J63" s="14" t="s">
        <v>21</v>
      </c>
      <c r="K63" s="15">
        <v>260</v>
      </c>
      <c r="L63" s="16">
        <v>2</v>
      </c>
      <c r="M63" s="16">
        <v>1</v>
      </c>
      <c r="N63" s="17"/>
      <c r="O63" s="11">
        <v>260.89999999999998</v>
      </c>
      <c r="P63" s="8">
        <v>24</v>
      </c>
      <c r="Q63" s="8"/>
      <c r="R63" s="8"/>
      <c r="S63" s="8"/>
      <c r="T63" s="8">
        <v>15</v>
      </c>
      <c r="U63" s="8"/>
      <c r="V63" s="8"/>
      <c r="W63" s="9">
        <v>0.9</v>
      </c>
      <c r="X63" s="7"/>
      <c r="Y63" s="9"/>
      <c r="Z63" s="6">
        <f>IF(SUM(O63:W63)=0,IF(DONNEES[[#This Row],[ACPTE RECU]]-DONNEES[[#This Row],[ACPTE RENDU]]=0,"",DONNEES[[#This Row],[ACPTE RECU]]-DONNEES[[#This Row],[ACPTE RENDU]]),SUM(O63:W63)+DONNEES[[#This Row],[ACPTE RECU]]-DONNEES[[#This Row],[ACPTE RENDU]])</f>
        <v>300.79999999999995</v>
      </c>
      <c r="AA63" s="12">
        <f>IF(DONNEES[[#This Row],[DEP
REC]]="D",DONNEES[[#This Row],[DEPART]],"")</f>
        <v>44895</v>
      </c>
      <c r="AB63" s="79">
        <v>300.8</v>
      </c>
      <c r="AC63" s="8"/>
      <c r="AD63" s="8"/>
      <c r="AE63" s="8"/>
      <c r="AF63" s="8"/>
      <c r="AG63" s="8"/>
      <c r="AH63" s="8"/>
      <c r="AI63" s="8"/>
      <c r="AJ63" s="9"/>
      <c r="AK63" s="54">
        <f t="shared" si="3"/>
        <v>300.8</v>
      </c>
      <c r="AL63" s="11"/>
      <c r="AM6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3" s="119">
        <f>IF(DONNEES[[#This Row],[DATE
PAIEMT]]="",0,DONNEES[[#This Row],[DATE
PAIEMT]])</f>
        <v>44895</v>
      </c>
    </row>
    <row r="64" spans="1:40" x14ac:dyDescent="0.25">
      <c r="A64" s="97">
        <f>DONNEES[[#This Row],[AM]]</f>
        <v>44894</v>
      </c>
      <c r="B64" s="95">
        <f>WEEKDAY(DONNEES[[#This Row],[JOUR]],2)</f>
        <v>2</v>
      </c>
      <c r="C64" s="99">
        <f>_xlfn.ISOWEEKNUM(DONNEES[[#This Row],[AM]]-1)</f>
        <v>48</v>
      </c>
      <c r="D64" s="92">
        <v>44894</v>
      </c>
      <c r="E64" s="93">
        <f>DONNEES[[#This Row],[AM]]+1</f>
        <v>44895</v>
      </c>
      <c r="F64" s="14" t="s">
        <v>38</v>
      </c>
      <c r="G64" s="85">
        <v>27</v>
      </c>
      <c r="H64" s="13">
        <v>1</v>
      </c>
      <c r="I64" s="103" t="s">
        <v>121</v>
      </c>
      <c r="J64" s="14" t="s">
        <v>21</v>
      </c>
      <c r="K64" s="15">
        <v>165</v>
      </c>
      <c r="L64" s="16">
        <v>1</v>
      </c>
      <c r="M64" s="16"/>
      <c r="N64" s="17"/>
      <c r="O64" s="11"/>
      <c r="P64" s="8"/>
      <c r="Q64" s="8"/>
      <c r="R64" s="8"/>
      <c r="S64" s="8"/>
      <c r="T64" s="8"/>
      <c r="U64" s="8"/>
      <c r="V64" s="8"/>
      <c r="W64" s="9"/>
      <c r="X64" s="7"/>
      <c r="Y64" s="9"/>
      <c r="Z64" s="6" t="str">
        <f>IF(SUM(O64:W64)=0,IF(DONNEES[[#This Row],[ACPTE RECU]]-DONNEES[[#This Row],[ACPTE RENDU]]=0,"",DONNEES[[#This Row],[ACPTE RECU]]-DONNEES[[#This Row],[ACPTE RENDU]]),SUM(O64:W64)+DONNEES[[#This Row],[ACPTE RECU]]-DONNEES[[#This Row],[ACPTE RENDU]])</f>
        <v/>
      </c>
      <c r="AA64" s="12" t="str">
        <f>IF(DONNEES[[#This Row],[DEP
REC]]="D",DONNEES[[#This Row],[DEPART]],"")</f>
        <v/>
      </c>
      <c r="AB64" s="53"/>
      <c r="AC64" s="8"/>
      <c r="AD64" s="8"/>
      <c r="AE64" s="8"/>
      <c r="AF64" s="8"/>
      <c r="AG64" s="8"/>
      <c r="AH64" s="8"/>
      <c r="AI64" s="8"/>
      <c r="AJ64" s="9"/>
      <c r="AK64" s="54" t="str">
        <f t="shared" si="3"/>
        <v/>
      </c>
      <c r="AL64" s="11"/>
      <c r="AM6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4" s="119">
        <f>IF(DONNEES[[#This Row],[DATE
PAIEMT]]="",0,DONNEES[[#This Row],[DATE
PAIEMT]])</f>
        <v>0</v>
      </c>
    </row>
    <row r="65" spans="1:40" x14ac:dyDescent="0.25">
      <c r="A65" s="97">
        <f>DONNEES[[#This Row],[AM]]</f>
        <v>44894</v>
      </c>
      <c r="B65" s="95">
        <f>WEEKDAY(DONNEES[[#This Row],[JOUR]],2)</f>
        <v>2</v>
      </c>
      <c r="C65" s="99">
        <f>_xlfn.ISOWEEKNUM(DONNEES[[#This Row],[AM]]-1)</f>
        <v>48</v>
      </c>
      <c r="D65" s="92">
        <v>44894</v>
      </c>
      <c r="E65" s="93">
        <f>DONNEES[[#This Row],[AM]]+1</f>
        <v>44895</v>
      </c>
      <c r="F65" s="14" t="s">
        <v>38</v>
      </c>
      <c r="G65" s="85">
        <v>5</v>
      </c>
      <c r="H65" s="13">
        <v>1</v>
      </c>
      <c r="I65" s="103" t="s">
        <v>122</v>
      </c>
      <c r="J65" s="14" t="s">
        <v>21</v>
      </c>
      <c r="K65" s="15">
        <v>200</v>
      </c>
      <c r="L65" s="16">
        <v>1</v>
      </c>
      <c r="M65" s="16"/>
      <c r="N65" s="17"/>
      <c r="O65" s="11"/>
      <c r="P65" s="8"/>
      <c r="Q65" s="8"/>
      <c r="R65" s="8"/>
      <c r="S65" s="8"/>
      <c r="T65" s="8"/>
      <c r="U65" s="8"/>
      <c r="V65" s="8"/>
      <c r="W65" s="9"/>
      <c r="X65" s="7"/>
      <c r="Y65" s="9"/>
      <c r="Z65" s="6" t="str">
        <f>IF(SUM(O65:W65)=0,IF(DONNEES[[#This Row],[ACPTE RECU]]-DONNEES[[#This Row],[ACPTE RENDU]]=0,"",DONNEES[[#This Row],[ACPTE RECU]]-DONNEES[[#This Row],[ACPTE RENDU]]),SUM(O65:W65)+DONNEES[[#This Row],[ACPTE RECU]]-DONNEES[[#This Row],[ACPTE RENDU]])</f>
        <v/>
      </c>
      <c r="AA65" s="12" t="str">
        <f>IF(DONNEES[[#This Row],[DEP
REC]]="D",DONNEES[[#This Row],[DEPART]],"")</f>
        <v/>
      </c>
      <c r="AB65" s="53"/>
      <c r="AC65" s="8"/>
      <c r="AD65" s="8"/>
      <c r="AE65" s="8"/>
      <c r="AF65" s="8"/>
      <c r="AG65" s="8"/>
      <c r="AH65" s="8"/>
      <c r="AI65" s="8"/>
      <c r="AJ65" s="9"/>
      <c r="AK65" s="54" t="str">
        <f t="shared" si="3"/>
        <v/>
      </c>
      <c r="AL65" s="11"/>
      <c r="AM6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5" s="119">
        <f>IF(DONNEES[[#This Row],[DATE
PAIEMT]]="",0,DONNEES[[#This Row],[DATE
PAIEMT]])</f>
        <v>0</v>
      </c>
    </row>
    <row r="66" spans="1:40" x14ac:dyDescent="0.25">
      <c r="A66" s="97">
        <f>DONNEES[[#This Row],[AM]]</f>
        <v>44894</v>
      </c>
      <c r="B66" s="95">
        <f>WEEKDAY(DONNEES[[#This Row],[JOUR]],2)</f>
        <v>2</v>
      </c>
      <c r="C66" s="99">
        <f>_xlfn.ISOWEEKNUM(DONNEES[[#This Row],[AM]]-1)</f>
        <v>48</v>
      </c>
      <c r="D66" s="92">
        <v>44894</v>
      </c>
      <c r="E66" s="93">
        <f>DONNEES[[#This Row],[AM]]+1</f>
        <v>44895</v>
      </c>
      <c r="F66" s="14" t="s">
        <v>38</v>
      </c>
      <c r="G66" s="85">
        <v>12</v>
      </c>
      <c r="H66" s="13">
        <v>1</v>
      </c>
      <c r="I66" s="103" t="s">
        <v>123</v>
      </c>
      <c r="J66" s="14" t="s">
        <v>21</v>
      </c>
      <c r="K66" s="15">
        <v>190</v>
      </c>
      <c r="L66" s="16">
        <v>1</v>
      </c>
      <c r="M66" s="16"/>
      <c r="N66" s="17"/>
      <c r="O66" s="11"/>
      <c r="P66" s="8"/>
      <c r="Q66" s="8"/>
      <c r="R66" s="8"/>
      <c r="S66" s="8"/>
      <c r="T66" s="8"/>
      <c r="U66" s="8"/>
      <c r="V66" s="8"/>
      <c r="W66" s="9"/>
      <c r="X66" s="7"/>
      <c r="Y66" s="9"/>
      <c r="Z66" s="6" t="str">
        <f>IF(SUM(O66:W66)=0,IF(DONNEES[[#This Row],[ACPTE RECU]]-DONNEES[[#This Row],[ACPTE RENDU]]=0,"",DONNEES[[#This Row],[ACPTE RECU]]-DONNEES[[#This Row],[ACPTE RENDU]]),SUM(O66:W66)+DONNEES[[#This Row],[ACPTE RECU]]-DONNEES[[#This Row],[ACPTE RENDU]])</f>
        <v/>
      </c>
      <c r="AA66" s="12" t="str">
        <f>IF(DONNEES[[#This Row],[DEP
REC]]="D",DONNEES[[#This Row],[DEPART]],"")</f>
        <v/>
      </c>
      <c r="AB66" s="53"/>
      <c r="AC66" s="8"/>
      <c r="AD66" s="8"/>
      <c r="AE66" s="8"/>
      <c r="AF66" s="8"/>
      <c r="AG66" s="8"/>
      <c r="AH66" s="8"/>
      <c r="AI66" s="8"/>
      <c r="AJ66" s="9"/>
      <c r="AK66" s="54" t="str">
        <f t="shared" si="3"/>
        <v/>
      </c>
      <c r="AL66" s="11"/>
      <c r="AM6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6" s="119">
        <f>IF(DONNEES[[#This Row],[DATE
PAIEMT]]="",0,DONNEES[[#This Row],[DATE
PAIEMT]])</f>
        <v>0</v>
      </c>
    </row>
    <row r="67" spans="1:40" x14ac:dyDescent="0.25">
      <c r="A67" s="97">
        <f>DONNEES[[#This Row],[AM]]</f>
        <v>44894</v>
      </c>
      <c r="B67" s="95">
        <f>WEEKDAY(DONNEES[[#This Row],[JOUR]],2)</f>
        <v>2</v>
      </c>
      <c r="C67" s="99">
        <f>_xlfn.ISOWEEKNUM(DONNEES[[#This Row],[AM]]-1)</f>
        <v>48</v>
      </c>
      <c r="D67" s="92">
        <v>44894</v>
      </c>
      <c r="E67" s="93">
        <f>DONNEES[[#This Row],[AM]]+1</f>
        <v>44895</v>
      </c>
      <c r="F67" s="14" t="s">
        <v>38</v>
      </c>
      <c r="G67" s="85">
        <v>20</v>
      </c>
      <c r="H67" s="13">
        <v>1</v>
      </c>
      <c r="I67" s="103" t="s">
        <v>124</v>
      </c>
      <c r="J67" s="14" t="s">
        <v>39</v>
      </c>
      <c r="K67" s="15">
        <v>203.4</v>
      </c>
      <c r="L67" s="16">
        <v>1</v>
      </c>
      <c r="M67" s="16"/>
      <c r="N67" s="17"/>
      <c r="O67" s="11"/>
      <c r="P67" s="8"/>
      <c r="Q67" s="8"/>
      <c r="R67" s="8"/>
      <c r="S67" s="8"/>
      <c r="T67" s="8"/>
      <c r="U67" s="8"/>
      <c r="V67" s="8"/>
      <c r="W67" s="9"/>
      <c r="X67" s="7"/>
      <c r="Y67" s="9"/>
      <c r="Z67" s="6" t="str">
        <f>IF(SUM(O67:W67)=0,IF(DONNEES[[#This Row],[ACPTE RECU]]-DONNEES[[#This Row],[ACPTE RENDU]]=0,"",DONNEES[[#This Row],[ACPTE RECU]]-DONNEES[[#This Row],[ACPTE RENDU]]),SUM(O67:W67)+DONNEES[[#This Row],[ACPTE RECU]]-DONNEES[[#This Row],[ACPTE RENDU]])</f>
        <v/>
      </c>
      <c r="AA67" s="12" t="str">
        <f>IF(DONNEES[[#This Row],[DEP
REC]]="D",DONNEES[[#This Row],[DEPART]],"")</f>
        <v/>
      </c>
      <c r="AB67" s="53"/>
      <c r="AC67" s="8"/>
      <c r="AD67" s="8"/>
      <c r="AE67" s="8"/>
      <c r="AF67" s="8"/>
      <c r="AG67" s="8"/>
      <c r="AH67" s="8"/>
      <c r="AI67" s="8"/>
      <c r="AJ67" s="9"/>
      <c r="AK67" s="54" t="str">
        <f t="shared" si="3"/>
        <v/>
      </c>
      <c r="AL67" s="11"/>
      <c r="AM6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7" s="119">
        <f>IF(DONNEES[[#This Row],[DATE
PAIEMT]]="",0,DONNEES[[#This Row],[DATE
PAIEMT]])</f>
        <v>0</v>
      </c>
    </row>
    <row r="68" spans="1:40" x14ac:dyDescent="0.25">
      <c r="A68" s="97">
        <f>DONNEES[[#This Row],[AM]]</f>
        <v>44894</v>
      </c>
      <c r="B68" s="95">
        <f>WEEKDAY(DONNEES[[#This Row],[JOUR]],2)</f>
        <v>2</v>
      </c>
      <c r="C68" s="99">
        <f>_xlfn.ISOWEEKNUM(DONNEES[[#This Row],[AM]]-1)</f>
        <v>48</v>
      </c>
      <c r="D68" s="92">
        <v>44894</v>
      </c>
      <c r="E68" s="93">
        <f>DONNEES[[#This Row],[AM]]+1</f>
        <v>44895</v>
      </c>
      <c r="F68" s="14" t="s">
        <v>38</v>
      </c>
      <c r="G68" s="85">
        <v>22</v>
      </c>
      <c r="H68" s="13">
        <v>1</v>
      </c>
      <c r="I68" s="103" t="s">
        <v>118</v>
      </c>
      <c r="J68" s="14" t="s">
        <v>21</v>
      </c>
      <c r="K68" s="15">
        <v>220</v>
      </c>
      <c r="L68" s="16"/>
      <c r="M68" s="16"/>
      <c r="N68" s="17">
        <v>8</v>
      </c>
      <c r="O68" s="11"/>
      <c r="P68" s="8"/>
      <c r="Q68" s="8"/>
      <c r="R68" s="8"/>
      <c r="S68" s="8"/>
      <c r="T68" s="8"/>
      <c r="U68" s="8"/>
      <c r="V68" s="8"/>
      <c r="W68" s="9"/>
      <c r="X68" s="7"/>
      <c r="Y68" s="9"/>
      <c r="Z68" s="6" t="str">
        <f>IF(SUM(O68:W68)=0,IF(DONNEES[[#This Row],[ACPTE RECU]]-DONNEES[[#This Row],[ACPTE RENDU]]=0,"",DONNEES[[#This Row],[ACPTE RECU]]-DONNEES[[#This Row],[ACPTE RENDU]]),SUM(O68:W68)+DONNEES[[#This Row],[ACPTE RECU]]-DONNEES[[#This Row],[ACPTE RENDU]])</f>
        <v/>
      </c>
      <c r="AA68" s="12" t="str">
        <f>IF(DONNEES[[#This Row],[DEP
REC]]="D",DONNEES[[#This Row],[DEPART]],"")</f>
        <v/>
      </c>
      <c r="AB68" s="53"/>
      <c r="AC68" s="8"/>
      <c r="AD68" s="8"/>
      <c r="AE68" s="8"/>
      <c r="AF68" s="8"/>
      <c r="AG68" s="8"/>
      <c r="AH68" s="8"/>
      <c r="AI68" s="8"/>
      <c r="AJ68" s="9"/>
      <c r="AK68" s="54" t="str">
        <f t="shared" si="3"/>
        <v/>
      </c>
      <c r="AL68" s="11"/>
      <c r="AM6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8" s="119">
        <f>IF(DONNEES[[#This Row],[DATE
PAIEMT]]="",0,DONNEES[[#This Row],[DATE
PAIEMT]])</f>
        <v>0</v>
      </c>
    </row>
    <row r="69" spans="1:40" x14ac:dyDescent="0.25">
      <c r="A69" s="97">
        <f>DONNEES[[#This Row],[AM]]</f>
        <v>44894</v>
      </c>
      <c r="B69" s="95">
        <f>WEEKDAY(DONNEES[[#This Row],[JOUR]],2)</f>
        <v>2</v>
      </c>
      <c r="C69" s="99">
        <f>_xlfn.ISOWEEKNUM(DONNEES[[#This Row],[AM]]-1)</f>
        <v>48</v>
      </c>
      <c r="D69" s="92">
        <v>44894</v>
      </c>
      <c r="E69" s="93">
        <f>DONNEES[[#This Row],[AM]]+1</f>
        <v>44895</v>
      </c>
      <c r="F69" s="14" t="s">
        <v>38</v>
      </c>
      <c r="G69" s="85">
        <v>25</v>
      </c>
      <c r="H69" s="13">
        <v>2</v>
      </c>
      <c r="I69" s="103" t="s">
        <v>119</v>
      </c>
      <c r="J69" s="14" t="s">
        <v>39</v>
      </c>
      <c r="K69" s="15">
        <v>224.1</v>
      </c>
      <c r="L69" s="16">
        <v>2</v>
      </c>
      <c r="M69" s="16"/>
      <c r="N69" s="17"/>
      <c r="O69" s="11"/>
      <c r="P69" s="8"/>
      <c r="Q69" s="8"/>
      <c r="R69" s="8"/>
      <c r="S69" s="8"/>
      <c r="T69" s="8"/>
      <c r="U69" s="8"/>
      <c r="V69" s="8"/>
      <c r="W69" s="9"/>
      <c r="X69" s="7"/>
      <c r="Y69" s="9"/>
      <c r="Z69" s="6" t="str">
        <f>IF(SUM(O69:W69)=0,IF(DONNEES[[#This Row],[ACPTE RECU]]-DONNEES[[#This Row],[ACPTE RENDU]]=0,"",DONNEES[[#This Row],[ACPTE RECU]]-DONNEES[[#This Row],[ACPTE RENDU]]),SUM(O69:W69)+DONNEES[[#This Row],[ACPTE RECU]]-DONNEES[[#This Row],[ACPTE RENDU]])</f>
        <v/>
      </c>
      <c r="AA69" s="12" t="str">
        <f>IF(DONNEES[[#This Row],[DEP
REC]]="D",DONNEES[[#This Row],[DEPART]],"")</f>
        <v/>
      </c>
      <c r="AB69" s="53"/>
      <c r="AC69" s="8"/>
      <c r="AD69" s="8"/>
      <c r="AE69" s="8"/>
      <c r="AF69" s="8"/>
      <c r="AG69" s="8"/>
      <c r="AH69" s="8"/>
      <c r="AI69" s="8"/>
      <c r="AJ69" s="9"/>
      <c r="AK69" s="54" t="str">
        <f t="shared" si="3"/>
        <v/>
      </c>
      <c r="AL69" s="11"/>
      <c r="AM6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69" s="119">
        <f>IF(DONNEES[[#This Row],[DATE
PAIEMT]]="",0,DONNEES[[#This Row],[DATE
PAIEMT]])</f>
        <v>0</v>
      </c>
    </row>
    <row r="70" spans="1:40" x14ac:dyDescent="0.25">
      <c r="A70" s="97">
        <f>DONNEES[[#This Row],[AM]]</f>
        <v>44894</v>
      </c>
      <c r="B70" s="95">
        <f>WEEKDAY(DONNEES[[#This Row],[JOUR]],2)</f>
        <v>2</v>
      </c>
      <c r="C70" s="99">
        <f>_xlfn.ISOWEEKNUM(DONNEES[[#This Row],[AM]]-1)</f>
        <v>48</v>
      </c>
      <c r="D70" s="92">
        <v>44894</v>
      </c>
      <c r="E70" s="93">
        <f>DONNEES[[#This Row],[AM]]+1</f>
        <v>44895</v>
      </c>
      <c r="F70" s="14"/>
      <c r="G70" s="85"/>
      <c r="H70" s="13"/>
      <c r="I70" s="103" t="s">
        <v>53</v>
      </c>
      <c r="J70" s="14" t="s">
        <v>21</v>
      </c>
      <c r="K70" s="15"/>
      <c r="L70" s="16"/>
      <c r="M70" s="16"/>
      <c r="N70" s="17"/>
      <c r="O70" s="11"/>
      <c r="P70" s="8">
        <v>12</v>
      </c>
      <c r="Q70" s="8"/>
      <c r="R70" s="8"/>
      <c r="S70" s="8"/>
      <c r="T70" s="8"/>
      <c r="U70" s="8"/>
      <c r="V70" s="8"/>
      <c r="W70" s="9"/>
      <c r="X70" s="7"/>
      <c r="Y70" s="9"/>
      <c r="Z70" s="6">
        <f>IF(SUM(O70:W70)=0,IF(DONNEES[[#This Row],[ACPTE RECU]]-DONNEES[[#This Row],[ACPTE RENDU]]=0,"",DONNEES[[#This Row],[ACPTE RECU]]-DONNEES[[#This Row],[ACPTE RENDU]]),SUM(O70:W70)+DONNEES[[#This Row],[ACPTE RECU]]-DONNEES[[#This Row],[ACPTE RENDU]])</f>
        <v>12</v>
      </c>
      <c r="AA70" s="12" t="str">
        <f>IF(DONNEES[[#This Row],[DEP
REC]]="D",DONNEES[[#This Row],[DEPART]],"")</f>
        <v/>
      </c>
      <c r="AB70" s="53"/>
      <c r="AC70" s="8"/>
      <c r="AD70" s="8"/>
      <c r="AE70" s="8"/>
      <c r="AF70" s="8"/>
      <c r="AG70" s="8"/>
      <c r="AH70" s="8"/>
      <c r="AI70" s="8"/>
      <c r="AJ70" s="9"/>
      <c r="AK70" s="54" t="str">
        <f t="shared" si="3"/>
        <v/>
      </c>
      <c r="AL70" s="11"/>
      <c r="AM70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12</v>
      </c>
      <c r="AN70" s="119">
        <f>IF(DONNEES[[#This Row],[DATE
PAIEMT]]="",0,DONNEES[[#This Row],[DATE
PAIEMT]])</f>
        <v>0</v>
      </c>
    </row>
    <row r="71" spans="1:40" x14ac:dyDescent="0.25">
      <c r="A71" s="97">
        <f>DONNEES[[#This Row],[AM]]</f>
        <v>44895</v>
      </c>
      <c r="B71" s="95">
        <f>WEEKDAY(DONNEES[[#This Row],[JOUR]],2)</f>
        <v>3</v>
      </c>
      <c r="C71" s="99">
        <f>_xlfn.ISOWEEKNUM(DONNEES[[#This Row],[AM]]-1)</f>
        <v>48</v>
      </c>
      <c r="D71" s="92">
        <v>44895</v>
      </c>
      <c r="E71" s="93">
        <f>DONNEES[[#This Row],[AM]]+1</f>
        <v>44896</v>
      </c>
      <c r="F71" s="14" t="s">
        <v>37</v>
      </c>
      <c r="G71" s="85">
        <v>21</v>
      </c>
      <c r="H71" s="13">
        <v>1</v>
      </c>
      <c r="I71" s="103" t="s">
        <v>50</v>
      </c>
      <c r="J71" s="14" t="s">
        <v>39</v>
      </c>
      <c r="K71" s="15">
        <v>188.1</v>
      </c>
      <c r="L71" s="16"/>
      <c r="M71" s="16"/>
      <c r="N71" s="17"/>
      <c r="O71" s="11">
        <v>188.1</v>
      </c>
      <c r="P71" s="8"/>
      <c r="Q71" s="8"/>
      <c r="R71" s="8"/>
      <c r="S71" s="8"/>
      <c r="T71" s="8"/>
      <c r="U71" s="8"/>
      <c r="V71" s="8"/>
      <c r="W71" s="9">
        <v>0.9</v>
      </c>
      <c r="X71" s="7"/>
      <c r="Y71" s="9"/>
      <c r="Z71" s="6">
        <f>IF(SUM(O71:W71)=0,IF(DONNEES[[#This Row],[ACPTE RECU]]-DONNEES[[#This Row],[ACPTE RENDU]]=0,"",DONNEES[[#This Row],[ACPTE RECU]]-DONNEES[[#This Row],[ACPTE RENDU]]),SUM(O71:W71)+DONNEES[[#This Row],[ACPTE RECU]]-DONNEES[[#This Row],[ACPTE RENDU]])</f>
        <v>189</v>
      </c>
      <c r="AA71" s="12">
        <v>44895</v>
      </c>
      <c r="AB71" s="79">
        <v>189</v>
      </c>
      <c r="AC71" s="8"/>
      <c r="AD71" s="8"/>
      <c r="AE71" s="8"/>
      <c r="AF71" s="8"/>
      <c r="AG71" s="8"/>
      <c r="AH71" s="8"/>
      <c r="AI71" s="8"/>
      <c r="AJ71" s="9"/>
      <c r="AK71" s="54">
        <f t="shared" si="3"/>
        <v>189</v>
      </c>
      <c r="AL71" s="11"/>
      <c r="AM7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1" s="119">
        <f>IF(DONNEES[[#This Row],[DATE
PAIEMT]]="",0,DONNEES[[#This Row],[DATE
PAIEMT]])</f>
        <v>44895</v>
      </c>
    </row>
    <row r="72" spans="1:40" x14ac:dyDescent="0.25">
      <c r="A72" s="97">
        <f>DONNEES[[#This Row],[AM]]</f>
        <v>44895</v>
      </c>
      <c r="B72" s="95">
        <f>WEEKDAY(DONNEES[[#This Row],[JOUR]],2)</f>
        <v>3</v>
      </c>
      <c r="C72" s="99">
        <f>_xlfn.ISOWEEKNUM(DONNEES[[#This Row],[AM]]-1)</f>
        <v>48</v>
      </c>
      <c r="D72" s="92">
        <v>44895</v>
      </c>
      <c r="E72" s="93">
        <f>DONNEES[[#This Row],[AM]]+1</f>
        <v>44896</v>
      </c>
      <c r="F72" s="14" t="s">
        <v>37</v>
      </c>
      <c r="G72" s="85">
        <v>22</v>
      </c>
      <c r="H72" s="13">
        <v>1</v>
      </c>
      <c r="I72" s="103" t="s">
        <v>118</v>
      </c>
      <c r="J72" s="14" t="s">
        <v>21</v>
      </c>
      <c r="K72" s="15">
        <v>220</v>
      </c>
      <c r="L72" s="16">
        <v>1</v>
      </c>
      <c r="M72" s="16"/>
      <c r="N72" s="17"/>
      <c r="O72" s="11">
        <f>185+2*220</f>
        <v>625</v>
      </c>
      <c r="P72" s="8">
        <v>24</v>
      </c>
      <c r="Q72" s="8">
        <v>20</v>
      </c>
      <c r="R72" s="8"/>
      <c r="S72" s="8"/>
      <c r="T72" s="8"/>
      <c r="U72" s="8"/>
      <c r="V72" s="8"/>
      <c r="W72" s="9">
        <v>2.7</v>
      </c>
      <c r="X72" s="7"/>
      <c r="Y72" s="9"/>
      <c r="Z72" s="6">
        <f>IF(SUM(O72:W72)=0,IF(DONNEES[[#This Row],[ACPTE RECU]]-DONNEES[[#This Row],[ACPTE RENDU]]=0,"",DONNEES[[#This Row],[ACPTE RECU]]-DONNEES[[#This Row],[ACPTE RENDU]]),SUM(O72:W72)+DONNEES[[#This Row],[ACPTE RECU]]-DONNEES[[#This Row],[ACPTE RENDU]])</f>
        <v>671.7</v>
      </c>
      <c r="AA72" s="12">
        <v>44895</v>
      </c>
      <c r="AB72" s="53"/>
      <c r="AC72" s="58">
        <v>671.7</v>
      </c>
      <c r="AD72" s="8"/>
      <c r="AE72" s="8"/>
      <c r="AF72" s="8"/>
      <c r="AG72" s="8"/>
      <c r="AH72" s="8"/>
      <c r="AI72" s="8"/>
      <c r="AJ72" s="9"/>
      <c r="AK72" s="54">
        <f t="shared" si="3"/>
        <v>671.7</v>
      </c>
      <c r="AL72" s="11"/>
      <c r="AM7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2" s="119">
        <f>IF(DONNEES[[#This Row],[DATE
PAIEMT]]="",0,DONNEES[[#This Row],[DATE
PAIEMT]])</f>
        <v>44895</v>
      </c>
    </row>
    <row r="73" spans="1:40" x14ac:dyDescent="0.25">
      <c r="A73" s="97">
        <f>DONNEES[[#This Row],[AM]]</f>
        <v>44895</v>
      </c>
      <c r="B73" s="95">
        <f>WEEKDAY(DONNEES[[#This Row],[JOUR]],2)</f>
        <v>3</v>
      </c>
      <c r="C73" s="99">
        <f>_xlfn.ISOWEEKNUM(DONNEES[[#This Row],[AM]]-1)</f>
        <v>48</v>
      </c>
      <c r="D73" s="92">
        <v>44895</v>
      </c>
      <c r="E73" s="93">
        <f>DONNEES[[#This Row],[AM]]+1</f>
        <v>44896</v>
      </c>
      <c r="F73" s="14" t="s">
        <v>37</v>
      </c>
      <c r="G73" s="85">
        <v>25</v>
      </c>
      <c r="H73" s="13">
        <v>2</v>
      </c>
      <c r="I73" s="103" t="s">
        <v>119</v>
      </c>
      <c r="J73" s="14" t="s">
        <v>39</v>
      </c>
      <c r="K73" s="15">
        <v>224.1</v>
      </c>
      <c r="L73" s="16"/>
      <c r="M73" s="16"/>
      <c r="N73" s="17"/>
      <c r="O73" s="11">
        <f>188.1+2*224.1+2.7</f>
        <v>639</v>
      </c>
      <c r="P73" s="8">
        <v>48</v>
      </c>
      <c r="Q73" s="8"/>
      <c r="R73" s="8"/>
      <c r="S73" s="8"/>
      <c r="T73" s="8"/>
      <c r="U73" s="8"/>
      <c r="V73" s="8"/>
      <c r="W73" s="9">
        <v>2.7</v>
      </c>
      <c r="X73" s="7"/>
      <c r="Y73" s="9"/>
      <c r="Z73" s="6">
        <f>IF(SUM(O73:W73)=0,IF(DONNEES[[#This Row],[ACPTE RECU]]-DONNEES[[#This Row],[ACPTE RENDU]]=0,"",DONNEES[[#This Row],[ACPTE RECU]]-DONNEES[[#This Row],[ACPTE RENDU]]),SUM(O73:W73)+DONNEES[[#This Row],[ACPTE RECU]]-DONNEES[[#This Row],[ACPTE RENDU]])</f>
        <v>689.7</v>
      </c>
      <c r="AA73" s="12">
        <v>44895</v>
      </c>
      <c r="AB73" s="79">
        <v>689.7</v>
      </c>
      <c r="AC73" s="8"/>
      <c r="AD73" s="8"/>
      <c r="AE73" s="8"/>
      <c r="AF73" s="8"/>
      <c r="AG73" s="8"/>
      <c r="AH73" s="8"/>
      <c r="AI73" s="8"/>
      <c r="AJ73" s="9"/>
      <c r="AK73" s="54">
        <f t="shared" si="3"/>
        <v>689.7</v>
      </c>
      <c r="AL73" s="11"/>
      <c r="AM7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3" s="119">
        <f>IF(DONNEES[[#This Row],[DATE
PAIEMT]]="",0,DONNEES[[#This Row],[DATE
PAIEMT]])</f>
        <v>44895</v>
      </c>
    </row>
    <row r="74" spans="1:40" x14ac:dyDescent="0.25">
      <c r="A74" s="97">
        <f>DONNEES[[#This Row],[AM]]</f>
        <v>44895</v>
      </c>
      <c r="B74" s="95">
        <f>WEEKDAY(DONNEES[[#This Row],[JOUR]],2)</f>
        <v>3</v>
      </c>
      <c r="C74" s="99">
        <f>_xlfn.ISOWEEKNUM(DONNEES[[#This Row],[AM]]-1)</f>
        <v>48</v>
      </c>
      <c r="D74" s="92">
        <v>44895</v>
      </c>
      <c r="E74" s="93">
        <f>DONNEES[[#This Row],[AM]]+1</f>
        <v>44896</v>
      </c>
      <c r="F74" s="14" t="s">
        <v>37</v>
      </c>
      <c r="G74" s="85">
        <v>26</v>
      </c>
      <c r="H74" s="13">
        <v>2</v>
      </c>
      <c r="I74" s="103" t="s">
        <v>129</v>
      </c>
      <c r="J74" s="14" t="s">
        <v>21</v>
      </c>
      <c r="K74" s="15">
        <v>160</v>
      </c>
      <c r="L74" s="16">
        <v>2</v>
      </c>
      <c r="M74" s="16">
        <v>1</v>
      </c>
      <c r="N74" s="17"/>
      <c r="O74" s="11">
        <v>160.9</v>
      </c>
      <c r="P74" s="8">
        <v>24</v>
      </c>
      <c r="Q74" s="8"/>
      <c r="R74" s="8"/>
      <c r="S74" s="8"/>
      <c r="T74" s="8">
        <v>15</v>
      </c>
      <c r="U74" s="8"/>
      <c r="V74" s="8"/>
      <c r="W74" s="9">
        <v>0.9</v>
      </c>
      <c r="X74" s="7"/>
      <c r="Y74" s="9"/>
      <c r="Z74" s="6">
        <f>IF(SUM(O74:W74)=0,IF(DONNEES[[#This Row],[ACPTE RECU]]-DONNEES[[#This Row],[ACPTE RENDU]]=0,"",DONNEES[[#This Row],[ACPTE RECU]]-DONNEES[[#This Row],[ACPTE RENDU]]),SUM(O74:W74)+DONNEES[[#This Row],[ACPTE RECU]]-DONNEES[[#This Row],[ACPTE RENDU]])</f>
        <v>200.8</v>
      </c>
      <c r="AA74" s="12">
        <f>IF(DONNEES[[#This Row],[DEP
REC]]="D",DONNEES[[#This Row],[DEPART]],"")</f>
        <v>44896</v>
      </c>
      <c r="AB74" s="53">
        <v>200.8</v>
      </c>
      <c r="AC74" s="8"/>
      <c r="AD74" s="8"/>
      <c r="AE74" s="8"/>
      <c r="AF74" s="8"/>
      <c r="AG74" s="8"/>
      <c r="AH74" s="8"/>
      <c r="AI74" s="8"/>
      <c r="AJ74" s="9"/>
      <c r="AK74" s="54">
        <f t="shared" si="3"/>
        <v>200.8</v>
      </c>
      <c r="AL74" s="11"/>
      <c r="AM7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4" s="119">
        <f>IF(DONNEES[[#This Row],[DATE
PAIEMT]]="",0,DONNEES[[#This Row],[DATE
PAIEMT]])</f>
        <v>44896</v>
      </c>
    </row>
    <row r="75" spans="1:40" x14ac:dyDescent="0.25">
      <c r="A75" s="97">
        <f>DONNEES[[#This Row],[AM]]</f>
        <v>44895</v>
      </c>
      <c r="B75" s="95">
        <f>WEEKDAY(DONNEES[[#This Row],[JOUR]],2)</f>
        <v>3</v>
      </c>
      <c r="C75" s="99">
        <f>_xlfn.ISOWEEKNUM(DONNEES[[#This Row],[AM]]-1)</f>
        <v>48</v>
      </c>
      <c r="D75" s="92">
        <v>44895</v>
      </c>
      <c r="E75" s="93">
        <f>DONNEES[[#This Row],[AM]]+1</f>
        <v>44896</v>
      </c>
      <c r="F75" s="14" t="s">
        <v>37</v>
      </c>
      <c r="G75" s="85">
        <v>12</v>
      </c>
      <c r="H75" s="13">
        <v>2</v>
      </c>
      <c r="I75" s="103" t="s">
        <v>123</v>
      </c>
      <c r="J75" s="14" t="s">
        <v>21</v>
      </c>
      <c r="K75" s="15">
        <v>230</v>
      </c>
      <c r="L75" s="16"/>
      <c r="M75" s="16"/>
      <c r="N75" s="17"/>
      <c r="O75" s="11">
        <f>170+230.9</f>
        <v>400.9</v>
      </c>
      <c r="P75" s="8">
        <v>12</v>
      </c>
      <c r="Q75" s="8"/>
      <c r="R75" s="8"/>
      <c r="S75" s="8"/>
      <c r="T75" s="8"/>
      <c r="U75" s="8"/>
      <c r="V75" s="8"/>
      <c r="W75" s="9">
        <v>1.8</v>
      </c>
      <c r="X75" s="7"/>
      <c r="Y75" s="9"/>
      <c r="Z75" s="6">
        <f>IF(SUM(O75:W75)=0,IF(DONNEES[[#This Row],[ACPTE RECU]]-DONNEES[[#This Row],[ACPTE RENDU]]=0,"",DONNEES[[#This Row],[ACPTE RECU]]-DONNEES[[#This Row],[ACPTE RENDU]]),SUM(O75:W75)+DONNEES[[#This Row],[ACPTE RECU]]-DONNEES[[#This Row],[ACPTE RENDU]])</f>
        <v>414.7</v>
      </c>
      <c r="AA75" s="12">
        <f>IF(DONNEES[[#This Row],[DEP
REC]]="D",DONNEES[[#This Row],[DEPART]],"")</f>
        <v>44896</v>
      </c>
      <c r="AB75" s="53">
        <v>414.7</v>
      </c>
      <c r="AC75" s="8"/>
      <c r="AD75" s="8"/>
      <c r="AE75" s="8"/>
      <c r="AF75" s="8"/>
      <c r="AG75" s="8"/>
      <c r="AH75" s="8"/>
      <c r="AI75" s="8"/>
      <c r="AJ75" s="9"/>
      <c r="AK75" s="54">
        <f t="shared" si="3"/>
        <v>414.7</v>
      </c>
      <c r="AL75" s="11"/>
      <c r="AM7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5" s="119">
        <f>IF(DONNEES[[#This Row],[DATE
PAIEMT]]="",0,DONNEES[[#This Row],[DATE
PAIEMT]])</f>
        <v>44896</v>
      </c>
    </row>
    <row r="76" spans="1:40" x14ac:dyDescent="0.25">
      <c r="A76" s="97">
        <f>DONNEES[[#This Row],[AM]]</f>
        <v>44895</v>
      </c>
      <c r="B76" s="95">
        <f>WEEKDAY(DONNEES[[#This Row],[JOUR]],2)</f>
        <v>3</v>
      </c>
      <c r="C76" s="99">
        <f>_xlfn.ISOWEEKNUM(DONNEES[[#This Row],[AM]]-1)</f>
        <v>48</v>
      </c>
      <c r="D76" s="92">
        <v>44895</v>
      </c>
      <c r="E76" s="93">
        <f>DONNEES[[#This Row],[AM]]+1</f>
        <v>44896</v>
      </c>
      <c r="F76" s="14" t="s">
        <v>37</v>
      </c>
      <c r="G76" s="85">
        <v>15</v>
      </c>
      <c r="H76" s="13">
        <v>2</v>
      </c>
      <c r="I76" s="103" t="s">
        <v>132</v>
      </c>
      <c r="J76" s="14" t="s">
        <v>21</v>
      </c>
      <c r="K76" s="15">
        <v>126.9</v>
      </c>
      <c r="L76" s="16"/>
      <c r="M76" s="16"/>
      <c r="N76" s="17"/>
      <c r="O76" s="11">
        <v>127.8</v>
      </c>
      <c r="P76" s="8"/>
      <c r="Q76" s="8"/>
      <c r="R76" s="8"/>
      <c r="S76" s="8"/>
      <c r="T76" s="8"/>
      <c r="U76" s="8"/>
      <c r="V76" s="8"/>
      <c r="W76" s="9">
        <v>0.9</v>
      </c>
      <c r="X76" s="7"/>
      <c r="Y76" s="9"/>
      <c r="Z76" s="6">
        <f>IF(SUM(O76:W76)=0,IF(DONNEES[[#This Row],[ACPTE RECU]]-DONNEES[[#This Row],[ACPTE RENDU]]=0,"",DONNEES[[#This Row],[ACPTE RECU]]-DONNEES[[#This Row],[ACPTE RENDU]]),SUM(O76:W76)+DONNEES[[#This Row],[ACPTE RECU]]-DONNEES[[#This Row],[ACPTE RENDU]])</f>
        <v>128.69999999999999</v>
      </c>
      <c r="AA76" s="12">
        <f>IF(DONNEES[[#This Row],[DEP
REC]]="D",DONNEES[[#This Row],[DEPART]],"")</f>
        <v>44896</v>
      </c>
      <c r="AB76" s="53">
        <v>128.69999999999999</v>
      </c>
      <c r="AC76" s="8"/>
      <c r="AD76" s="8"/>
      <c r="AE76" s="8"/>
      <c r="AF76" s="8"/>
      <c r="AG76" s="8"/>
      <c r="AH76" s="8"/>
      <c r="AI76" s="8"/>
      <c r="AJ76" s="9"/>
      <c r="AK76" s="54">
        <f t="shared" si="3"/>
        <v>128.69999999999999</v>
      </c>
      <c r="AL76" s="11"/>
      <c r="AM7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6" s="119">
        <f>IF(DONNEES[[#This Row],[DATE
PAIEMT]]="",0,DONNEES[[#This Row],[DATE
PAIEMT]])</f>
        <v>44896</v>
      </c>
    </row>
    <row r="77" spans="1:40" x14ac:dyDescent="0.25">
      <c r="A77" s="97">
        <f>DONNEES[[#This Row],[AM]]</f>
        <v>44895</v>
      </c>
      <c r="B77" s="95">
        <f>WEEKDAY(DONNEES[[#This Row],[JOUR]],2)</f>
        <v>3</v>
      </c>
      <c r="C77" s="99">
        <f>_xlfn.ISOWEEKNUM(DONNEES[[#This Row],[AM]]-1)</f>
        <v>48</v>
      </c>
      <c r="D77" s="92">
        <v>44895</v>
      </c>
      <c r="E77" s="93">
        <f>DONNEES[[#This Row],[AM]]+1</f>
        <v>44896</v>
      </c>
      <c r="F77" s="14" t="s">
        <v>38</v>
      </c>
      <c r="G77" s="85">
        <v>27</v>
      </c>
      <c r="H77" s="13">
        <v>1</v>
      </c>
      <c r="I77" s="103" t="s">
        <v>121</v>
      </c>
      <c r="J77" s="14" t="s">
        <v>21</v>
      </c>
      <c r="K77" s="15">
        <v>165</v>
      </c>
      <c r="L77" s="16">
        <v>1</v>
      </c>
      <c r="M77" s="16"/>
      <c r="N77" s="17"/>
      <c r="O77" s="11"/>
      <c r="P77" s="8"/>
      <c r="Q77" s="8"/>
      <c r="R77" s="8"/>
      <c r="S77" s="8"/>
      <c r="T77" s="8"/>
      <c r="U77" s="8"/>
      <c r="V77" s="8"/>
      <c r="W77" s="9"/>
      <c r="X77" s="7"/>
      <c r="Y77" s="9"/>
      <c r="Z77" s="6" t="str">
        <f>IF(SUM(O77:W77)=0,IF(DONNEES[[#This Row],[ACPTE RECU]]-DONNEES[[#This Row],[ACPTE RENDU]]=0,"",DONNEES[[#This Row],[ACPTE RECU]]-DONNEES[[#This Row],[ACPTE RENDU]]),SUM(O77:W77)+DONNEES[[#This Row],[ACPTE RECU]]-DONNEES[[#This Row],[ACPTE RENDU]])</f>
        <v/>
      </c>
      <c r="AA77" s="12" t="str">
        <f>IF(DONNEES[[#This Row],[DEP
REC]]="D",DONNEES[[#This Row],[DEPART]],"")</f>
        <v/>
      </c>
      <c r="AB77" s="53"/>
      <c r="AC77" s="8"/>
      <c r="AD77" s="8"/>
      <c r="AE77" s="8"/>
      <c r="AF77" s="8"/>
      <c r="AG77" s="8"/>
      <c r="AH77" s="8"/>
      <c r="AI77" s="8"/>
      <c r="AJ77" s="9"/>
      <c r="AK77" s="54" t="str">
        <f t="shared" si="3"/>
        <v/>
      </c>
      <c r="AL77" s="11"/>
      <c r="AM7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7" s="119">
        <f>IF(DONNEES[[#This Row],[DATE
PAIEMT]]="",0,DONNEES[[#This Row],[DATE
PAIEMT]])</f>
        <v>0</v>
      </c>
    </row>
    <row r="78" spans="1:40" x14ac:dyDescent="0.25">
      <c r="A78" s="97">
        <f>DONNEES[[#This Row],[AM]]</f>
        <v>44895</v>
      </c>
      <c r="B78" s="95">
        <f>WEEKDAY(DONNEES[[#This Row],[JOUR]],2)</f>
        <v>3</v>
      </c>
      <c r="C78" s="99">
        <f>_xlfn.ISOWEEKNUM(DONNEES[[#This Row],[AM]]-1)</f>
        <v>48</v>
      </c>
      <c r="D78" s="92">
        <v>44895</v>
      </c>
      <c r="E78" s="93">
        <f>DONNEES[[#This Row],[AM]]+1</f>
        <v>44896</v>
      </c>
      <c r="F78" s="14" t="s">
        <v>38</v>
      </c>
      <c r="G78" s="85">
        <v>5</v>
      </c>
      <c r="H78" s="13">
        <v>1</v>
      </c>
      <c r="I78" s="103" t="s">
        <v>122</v>
      </c>
      <c r="J78" s="14" t="s">
        <v>21</v>
      </c>
      <c r="K78" s="15">
        <v>200</v>
      </c>
      <c r="L78" s="16">
        <v>1</v>
      </c>
      <c r="M78" s="16"/>
      <c r="N78" s="17"/>
      <c r="O78" s="11"/>
      <c r="P78" s="8"/>
      <c r="Q78" s="8"/>
      <c r="R78" s="8"/>
      <c r="S78" s="8"/>
      <c r="T78" s="8"/>
      <c r="U78" s="8"/>
      <c r="V78" s="8"/>
      <c r="W78" s="9"/>
      <c r="X78" s="7"/>
      <c r="Y78" s="9"/>
      <c r="Z78" s="6" t="str">
        <f>IF(SUM(O78:W78)=0,IF(DONNEES[[#This Row],[ACPTE RECU]]-DONNEES[[#This Row],[ACPTE RENDU]]=0,"",DONNEES[[#This Row],[ACPTE RECU]]-DONNEES[[#This Row],[ACPTE RENDU]]),SUM(O78:W78)+DONNEES[[#This Row],[ACPTE RECU]]-DONNEES[[#This Row],[ACPTE RENDU]])</f>
        <v/>
      </c>
      <c r="AA78" s="12" t="str">
        <f>IF(DONNEES[[#This Row],[DEP
REC]]="D",DONNEES[[#This Row],[DEPART]],"")</f>
        <v/>
      </c>
      <c r="AB78" s="53"/>
      <c r="AC78" s="8"/>
      <c r="AD78" s="8"/>
      <c r="AE78" s="8"/>
      <c r="AF78" s="8"/>
      <c r="AG78" s="8"/>
      <c r="AH78" s="8"/>
      <c r="AI78" s="8"/>
      <c r="AJ78" s="9"/>
      <c r="AK78" s="54" t="str">
        <f t="shared" si="3"/>
        <v/>
      </c>
      <c r="AL78" s="11"/>
      <c r="AM7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8" s="119">
        <f>IF(DONNEES[[#This Row],[DATE
PAIEMT]]="",0,DONNEES[[#This Row],[DATE
PAIEMT]])</f>
        <v>0</v>
      </c>
    </row>
    <row r="79" spans="1:40" x14ac:dyDescent="0.25">
      <c r="A79" s="97">
        <f>DONNEES[[#This Row],[AM]]</f>
        <v>44895</v>
      </c>
      <c r="B79" s="95">
        <f>WEEKDAY(DONNEES[[#This Row],[JOUR]],2)</f>
        <v>3</v>
      </c>
      <c r="C79" s="99">
        <f>_xlfn.ISOWEEKNUM(DONNEES[[#This Row],[AM]]-1)</f>
        <v>48</v>
      </c>
      <c r="D79" s="92">
        <v>44895</v>
      </c>
      <c r="E79" s="93">
        <f>DONNEES[[#This Row],[AM]]+1</f>
        <v>44896</v>
      </c>
      <c r="F79" s="14" t="s">
        <v>38</v>
      </c>
      <c r="G79" s="85">
        <v>20</v>
      </c>
      <c r="H79" s="13">
        <v>1</v>
      </c>
      <c r="I79" s="103" t="s">
        <v>124</v>
      </c>
      <c r="J79" s="14" t="s">
        <v>39</v>
      </c>
      <c r="K79" s="15">
        <v>203.4</v>
      </c>
      <c r="L79" s="16">
        <v>1</v>
      </c>
      <c r="M79" s="16"/>
      <c r="N79" s="17"/>
      <c r="O79" s="11"/>
      <c r="P79" s="8"/>
      <c r="Q79" s="8"/>
      <c r="R79" s="8"/>
      <c r="S79" s="8"/>
      <c r="T79" s="8"/>
      <c r="U79" s="8"/>
      <c r="V79" s="8"/>
      <c r="W79" s="9"/>
      <c r="X79" s="7"/>
      <c r="Y79" s="9"/>
      <c r="Z79" s="6" t="str">
        <f>IF(SUM(O79:W79)=0,IF(DONNEES[[#This Row],[ACPTE RECU]]-DONNEES[[#This Row],[ACPTE RENDU]]=0,"",DONNEES[[#This Row],[ACPTE RECU]]-DONNEES[[#This Row],[ACPTE RENDU]]),SUM(O79:W79)+DONNEES[[#This Row],[ACPTE RECU]]-DONNEES[[#This Row],[ACPTE RENDU]])</f>
        <v/>
      </c>
      <c r="AA79" s="12" t="str">
        <f>IF(DONNEES[[#This Row],[DEP
REC]]="D",DONNEES[[#This Row],[DEPART]],"")</f>
        <v/>
      </c>
      <c r="AB79" s="53"/>
      <c r="AC79" s="8"/>
      <c r="AD79" s="8"/>
      <c r="AE79" s="8"/>
      <c r="AF79" s="8"/>
      <c r="AG79" s="8"/>
      <c r="AH79" s="8"/>
      <c r="AI79" s="8"/>
      <c r="AJ79" s="9"/>
      <c r="AK79" s="54" t="str">
        <f t="shared" si="3"/>
        <v/>
      </c>
      <c r="AL79" s="11"/>
      <c r="AM7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79" s="119">
        <f>IF(DONNEES[[#This Row],[DATE
PAIEMT]]="",0,DONNEES[[#This Row],[DATE
PAIEMT]])</f>
        <v>0</v>
      </c>
    </row>
    <row r="80" spans="1:40" x14ac:dyDescent="0.25">
      <c r="A80" s="97">
        <f>DONNEES[[#This Row],[AM]]</f>
        <v>44895</v>
      </c>
      <c r="B80" s="95">
        <f>WEEKDAY(DONNEES[[#This Row],[JOUR]],2)</f>
        <v>3</v>
      </c>
      <c r="C80" s="99">
        <f>_xlfn.ISOWEEKNUM(DONNEES[[#This Row],[AM]]-1)</f>
        <v>48</v>
      </c>
      <c r="D80" s="92">
        <v>44895</v>
      </c>
      <c r="E80" s="93">
        <f>DONNEES[[#This Row],[AM]]+1</f>
        <v>44896</v>
      </c>
      <c r="F80" s="14" t="s">
        <v>38</v>
      </c>
      <c r="G80" s="85">
        <v>14</v>
      </c>
      <c r="H80" s="13">
        <v>1</v>
      </c>
      <c r="I80" s="103" t="s">
        <v>130</v>
      </c>
      <c r="J80" s="14" t="s">
        <v>39</v>
      </c>
      <c r="K80" s="15">
        <v>181</v>
      </c>
      <c r="L80" s="16"/>
      <c r="M80" s="16"/>
      <c r="N80" s="17"/>
      <c r="O80" s="11"/>
      <c r="P80" s="8"/>
      <c r="Q80" s="8"/>
      <c r="R80" s="8"/>
      <c r="S80" s="8"/>
      <c r="T80" s="8"/>
      <c r="U80" s="8"/>
      <c r="V80" s="8"/>
      <c r="W80" s="9"/>
      <c r="X80" s="7"/>
      <c r="Y80" s="9"/>
      <c r="Z80" s="6" t="str">
        <f>IF(SUM(O80:W80)=0,IF(DONNEES[[#This Row],[ACPTE RECU]]-DONNEES[[#This Row],[ACPTE RENDU]]=0,"",DONNEES[[#This Row],[ACPTE RECU]]-DONNEES[[#This Row],[ACPTE RENDU]]),SUM(O80:W80)+DONNEES[[#This Row],[ACPTE RECU]]-DONNEES[[#This Row],[ACPTE RENDU]])</f>
        <v/>
      </c>
      <c r="AA80" s="12" t="str">
        <f>IF(DONNEES[[#This Row],[DEP
REC]]="D",DONNEES[[#This Row],[DEPART]],"")</f>
        <v/>
      </c>
      <c r="AB80" s="53"/>
      <c r="AC80" s="8"/>
      <c r="AD80" s="8"/>
      <c r="AE80" s="8"/>
      <c r="AF80" s="8"/>
      <c r="AG80" s="8"/>
      <c r="AH80" s="8"/>
      <c r="AI80" s="8"/>
      <c r="AJ80" s="9"/>
      <c r="AK80" s="54" t="str">
        <f t="shared" si="3"/>
        <v/>
      </c>
      <c r="AL80" s="11"/>
      <c r="AM8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0" s="119">
        <f>IF(DONNEES[[#This Row],[DATE
PAIEMT]]="",0,DONNEES[[#This Row],[DATE
PAIEMT]])</f>
        <v>0</v>
      </c>
    </row>
    <row r="81" spans="1:40" x14ac:dyDescent="0.25">
      <c r="A81" s="97">
        <f>DONNEES[[#This Row],[AM]]</f>
        <v>44895</v>
      </c>
      <c r="B81" s="95">
        <f>WEEKDAY(DONNEES[[#This Row],[JOUR]],2)</f>
        <v>3</v>
      </c>
      <c r="C81" s="99">
        <f>_xlfn.ISOWEEKNUM(DONNEES[[#This Row],[AM]]-1)</f>
        <v>48</v>
      </c>
      <c r="D81" s="92">
        <v>44895</v>
      </c>
      <c r="E81" s="93">
        <f>DONNEES[[#This Row],[AM]]+1</f>
        <v>44896</v>
      </c>
      <c r="F81" s="14" t="s">
        <v>38</v>
      </c>
      <c r="G81" s="85">
        <v>16</v>
      </c>
      <c r="H81" s="13">
        <v>2</v>
      </c>
      <c r="I81" s="103" t="s">
        <v>131</v>
      </c>
      <c r="J81" s="14" t="s">
        <v>21</v>
      </c>
      <c r="K81" s="15">
        <v>250</v>
      </c>
      <c r="L81" s="16">
        <v>2</v>
      </c>
      <c r="M81" s="16"/>
      <c r="N81" s="17"/>
      <c r="O81" s="11"/>
      <c r="P81" s="8"/>
      <c r="Q81" s="8"/>
      <c r="R81" s="8"/>
      <c r="S81" s="8"/>
      <c r="T81" s="8"/>
      <c r="U81" s="8"/>
      <c r="V81" s="8"/>
      <c r="W81" s="9"/>
      <c r="X81" s="7"/>
      <c r="Y81" s="9"/>
      <c r="Z81" s="6" t="str">
        <f>IF(SUM(O81:W81)=0,IF(DONNEES[[#This Row],[ACPTE RECU]]-DONNEES[[#This Row],[ACPTE RENDU]]=0,"",DONNEES[[#This Row],[ACPTE RECU]]-DONNEES[[#This Row],[ACPTE RENDU]]),SUM(O81:W81)+DONNEES[[#This Row],[ACPTE RECU]]-DONNEES[[#This Row],[ACPTE RENDU]])</f>
        <v/>
      </c>
      <c r="AA81" s="12" t="str">
        <f>IF(DONNEES[[#This Row],[DEP
REC]]="D",DONNEES[[#This Row],[DEPART]],"")</f>
        <v/>
      </c>
      <c r="AB81" s="53"/>
      <c r="AC81" s="8"/>
      <c r="AD81" s="8"/>
      <c r="AE81" s="8"/>
      <c r="AF81" s="8"/>
      <c r="AG81" s="8"/>
      <c r="AH81" s="8"/>
      <c r="AI81" s="8"/>
      <c r="AJ81" s="9"/>
      <c r="AK81" s="54" t="str">
        <f t="shared" si="3"/>
        <v/>
      </c>
      <c r="AL81" s="11"/>
      <c r="AM8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1" s="119">
        <f>IF(DONNEES[[#This Row],[DATE
PAIEMT]]="",0,DONNEES[[#This Row],[DATE
PAIEMT]])</f>
        <v>0</v>
      </c>
    </row>
    <row r="82" spans="1:40" x14ac:dyDescent="0.25">
      <c r="A82" s="97">
        <f>DONNEES[[#This Row],[AM]]</f>
        <v>44896</v>
      </c>
      <c r="B82" s="95">
        <f>WEEKDAY(DONNEES[[#This Row],[JOUR]],2)</f>
        <v>4</v>
      </c>
      <c r="C82" s="99">
        <f>_xlfn.ISOWEEKNUM(DONNEES[[#This Row],[AM]]-1)</f>
        <v>48</v>
      </c>
      <c r="D82" s="92">
        <v>44896</v>
      </c>
      <c r="E82" s="93">
        <f>DONNEES[[#This Row],[AM]]+1</f>
        <v>44897</v>
      </c>
      <c r="F82" s="14" t="s">
        <v>37</v>
      </c>
      <c r="G82" s="85">
        <v>27</v>
      </c>
      <c r="H82" s="13">
        <v>1</v>
      </c>
      <c r="I82" s="103" t="s">
        <v>121</v>
      </c>
      <c r="J82" s="14" t="s">
        <v>21</v>
      </c>
      <c r="K82" s="15">
        <v>165</v>
      </c>
      <c r="L82" s="16"/>
      <c r="M82" s="16"/>
      <c r="N82" s="17"/>
      <c r="O82" s="11">
        <f>3*165</f>
        <v>495</v>
      </c>
      <c r="P82" s="8">
        <v>24</v>
      </c>
      <c r="Q82" s="8"/>
      <c r="R82" s="8"/>
      <c r="S82" s="8"/>
      <c r="T82" s="8"/>
      <c r="U82" s="8"/>
      <c r="V82" s="8"/>
      <c r="W82" s="9">
        <v>2.7</v>
      </c>
      <c r="X82" s="7"/>
      <c r="Y82" s="9"/>
      <c r="Z82" s="6">
        <f>IF(SUM(O82:W82)=0,IF(DONNEES[[#This Row],[ACPTE RECU]]-DONNEES[[#This Row],[ACPTE RENDU]]=0,"",DONNEES[[#This Row],[ACPTE RECU]]-DONNEES[[#This Row],[ACPTE RENDU]]),SUM(O82:W82)+DONNEES[[#This Row],[ACPTE RECU]]-DONNEES[[#This Row],[ACPTE RENDU]])</f>
        <v>521.70000000000005</v>
      </c>
      <c r="AA82" s="12">
        <v>44896</v>
      </c>
      <c r="AB82" s="53"/>
      <c r="AC82" s="8"/>
      <c r="AD82" s="8"/>
      <c r="AE82" s="8"/>
      <c r="AF82" s="8"/>
      <c r="AG82" s="8"/>
      <c r="AH82" s="8"/>
      <c r="AI82" s="8"/>
      <c r="AJ82" s="9"/>
      <c r="AK82" s="54" t="str">
        <f t="shared" ref="AK82:AK88" si="4">IF(SUM(AB82:AJ82)=0,"",SUM(AB82:AJ82))</f>
        <v/>
      </c>
      <c r="AL82" s="11"/>
      <c r="AM82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521.70000000000005</v>
      </c>
      <c r="AN82" s="119">
        <f>IF(DONNEES[[#This Row],[DATE
PAIEMT]]="",0,DONNEES[[#This Row],[DATE
PAIEMT]])</f>
        <v>44896</v>
      </c>
    </row>
    <row r="83" spans="1:40" x14ac:dyDescent="0.25">
      <c r="A83" s="97">
        <f>DONNEES[[#This Row],[AM]]</f>
        <v>44896</v>
      </c>
      <c r="B83" s="95">
        <f>WEEKDAY(DONNEES[[#This Row],[JOUR]],2)</f>
        <v>4</v>
      </c>
      <c r="C83" s="99">
        <f>_xlfn.ISOWEEKNUM(DONNEES[[#This Row],[AM]]-1)</f>
        <v>48</v>
      </c>
      <c r="D83" s="92">
        <v>44896</v>
      </c>
      <c r="E83" s="93">
        <f>DONNEES[[#This Row],[AM]]+1</f>
        <v>44897</v>
      </c>
      <c r="F83" s="14" t="s">
        <v>37</v>
      </c>
      <c r="G83" s="85">
        <v>5</v>
      </c>
      <c r="H83" s="13">
        <v>1</v>
      </c>
      <c r="I83" s="103" t="s">
        <v>122</v>
      </c>
      <c r="J83" s="14" t="s">
        <v>21</v>
      </c>
      <c r="K83" s="15">
        <v>200</v>
      </c>
      <c r="L83" s="16"/>
      <c r="M83" s="16"/>
      <c r="N83" s="17"/>
      <c r="O83" s="11">
        <f>3*200</f>
        <v>600</v>
      </c>
      <c r="P83" s="8">
        <v>24</v>
      </c>
      <c r="Q83" s="8"/>
      <c r="R83" s="8"/>
      <c r="S83" s="8"/>
      <c r="T83" s="8"/>
      <c r="U83" s="8"/>
      <c r="V83" s="8"/>
      <c r="W83" s="9">
        <v>2.7</v>
      </c>
      <c r="X83" s="7"/>
      <c r="Y83" s="9"/>
      <c r="Z83" s="6">
        <f>IF(SUM(O83:W83)=0,IF(DONNEES[[#This Row],[ACPTE RECU]]-DONNEES[[#This Row],[ACPTE RENDU]]=0,"",DONNEES[[#This Row],[ACPTE RECU]]-DONNEES[[#This Row],[ACPTE RENDU]]),SUM(O83:W83)+DONNEES[[#This Row],[ACPTE RECU]]-DONNEES[[#This Row],[ACPTE RENDU]])</f>
        <v>626.70000000000005</v>
      </c>
      <c r="AA83" s="12">
        <v>44896</v>
      </c>
      <c r="AB83" s="53"/>
      <c r="AC83" s="8"/>
      <c r="AD83" s="8"/>
      <c r="AE83" s="8">
        <v>1148.4000000000001</v>
      </c>
      <c r="AF83" s="8"/>
      <c r="AG83" s="8"/>
      <c r="AH83" s="8"/>
      <c r="AI83" s="8"/>
      <c r="AJ83" s="9"/>
      <c r="AK83" s="54">
        <f t="shared" si="4"/>
        <v>1148.4000000000001</v>
      </c>
      <c r="AL83" s="11"/>
      <c r="AM83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-521.70000000000005</v>
      </c>
      <c r="AN83" s="119">
        <f>IF(DONNEES[[#This Row],[DATE
PAIEMT]]="",0,DONNEES[[#This Row],[DATE
PAIEMT]])</f>
        <v>44896</v>
      </c>
    </row>
    <row r="84" spans="1:40" x14ac:dyDescent="0.25">
      <c r="A84" s="97">
        <f>DONNEES[[#This Row],[AM]]</f>
        <v>44896</v>
      </c>
      <c r="B84" s="95">
        <f>WEEKDAY(DONNEES[[#This Row],[JOUR]],2)</f>
        <v>4</v>
      </c>
      <c r="C84" s="99">
        <f>_xlfn.ISOWEEKNUM(DONNEES[[#This Row],[AM]]-1)</f>
        <v>48</v>
      </c>
      <c r="D84" s="92">
        <v>44896</v>
      </c>
      <c r="E84" s="93">
        <f>DONNEES[[#This Row],[AM]]+1</f>
        <v>44897</v>
      </c>
      <c r="F84" s="14" t="s">
        <v>37</v>
      </c>
      <c r="G84" s="85">
        <v>12</v>
      </c>
      <c r="H84" s="13">
        <v>2</v>
      </c>
      <c r="I84" s="103" t="s">
        <v>132</v>
      </c>
      <c r="J84" s="14" t="s">
        <v>21</v>
      </c>
      <c r="K84" s="15">
        <v>115</v>
      </c>
      <c r="L84" s="16"/>
      <c r="M84" s="16"/>
      <c r="N84" s="17"/>
      <c r="O84" s="11">
        <v>115.9</v>
      </c>
      <c r="P84" s="8"/>
      <c r="Q84" s="8"/>
      <c r="R84" s="8"/>
      <c r="S84" s="8"/>
      <c r="T84" s="8"/>
      <c r="U84" s="8"/>
      <c r="V84" s="8"/>
      <c r="W84" s="9">
        <v>0.9</v>
      </c>
      <c r="X84" s="7"/>
      <c r="Y84" s="9"/>
      <c r="Z84" s="6">
        <f>IF(SUM(O84:W84)=0,IF(DONNEES[[#This Row],[ACPTE RECU]]-DONNEES[[#This Row],[ACPTE RENDU]]=0,"",DONNEES[[#This Row],[ACPTE RECU]]-DONNEES[[#This Row],[ACPTE RENDU]]),SUM(O84:W84)+DONNEES[[#This Row],[ACPTE RECU]]-DONNEES[[#This Row],[ACPTE RENDU]])</f>
        <v>116.80000000000001</v>
      </c>
      <c r="AA84" s="12">
        <f>IF(DONNEES[[#This Row],[DEP
REC]]="D",DONNEES[[#This Row],[DEPART]],"")</f>
        <v>44897</v>
      </c>
      <c r="AB84" s="53">
        <f>58.4+58.4</f>
        <v>116.8</v>
      </c>
      <c r="AC84" s="8"/>
      <c r="AD84" s="8"/>
      <c r="AE84" s="8"/>
      <c r="AF84" s="8"/>
      <c r="AG84" s="8"/>
      <c r="AH84" s="8"/>
      <c r="AI84" s="8"/>
      <c r="AJ84" s="9"/>
      <c r="AK84" s="54">
        <f t="shared" si="4"/>
        <v>116.8</v>
      </c>
      <c r="AL84" s="11"/>
      <c r="AM8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4" s="119">
        <f>IF(DONNEES[[#This Row],[DATE
PAIEMT]]="",0,DONNEES[[#This Row],[DATE
PAIEMT]])</f>
        <v>44897</v>
      </c>
    </row>
    <row r="85" spans="1:40" x14ac:dyDescent="0.25">
      <c r="A85" s="97">
        <f>DONNEES[[#This Row],[AM]]</f>
        <v>44896</v>
      </c>
      <c r="B85" s="95">
        <f>WEEKDAY(DONNEES[[#This Row],[JOUR]],2)</f>
        <v>4</v>
      </c>
      <c r="C85" s="99">
        <f>_xlfn.ISOWEEKNUM(DONNEES[[#This Row],[AM]]-1)</f>
        <v>48</v>
      </c>
      <c r="D85" s="92">
        <v>44896</v>
      </c>
      <c r="E85" s="93">
        <f>DONNEES[[#This Row],[AM]]+1</f>
        <v>44897</v>
      </c>
      <c r="F85" s="14" t="s">
        <v>38</v>
      </c>
      <c r="G85" s="85">
        <v>20</v>
      </c>
      <c r="H85" s="13">
        <v>2</v>
      </c>
      <c r="I85" s="103" t="s">
        <v>124</v>
      </c>
      <c r="J85" s="14" t="s">
        <v>39</v>
      </c>
      <c r="K85" s="15">
        <v>203.4</v>
      </c>
      <c r="L85" s="16">
        <v>2</v>
      </c>
      <c r="M85" s="16"/>
      <c r="N85" s="17"/>
      <c r="O85" s="11"/>
      <c r="P85" s="8"/>
      <c r="Q85" s="8"/>
      <c r="R85" s="8"/>
      <c r="S85" s="8"/>
      <c r="T85" s="8"/>
      <c r="U85" s="8"/>
      <c r="V85" s="8"/>
      <c r="W85" s="9"/>
      <c r="X85" s="7"/>
      <c r="Y85" s="9"/>
      <c r="Z85" s="6" t="str">
        <f>IF(SUM(O85:W85)=0,IF(DONNEES[[#This Row],[ACPTE RECU]]-DONNEES[[#This Row],[ACPTE RENDU]]=0,"",DONNEES[[#This Row],[ACPTE RECU]]-DONNEES[[#This Row],[ACPTE RENDU]]),SUM(O85:W85)+DONNEES[[#This Row],[ACPTE RECU]]-DONNEES[[#This Row],[ACPTE RENDU]])</f>
        <v/>
      </c>
      <c r="AA85" s="12" t="str">
        <f>IF(DONNEES[[#This Row],[DEP
REC]]="D",DONNEES[[#This Row],[DEPART]],"")</f>
        <v/>
      </c>
      <c r="AB85" s="53"/>
      <c r="AC85" s="8"/>
      <c r="AD85" s="8"/>
      <c r="AE85" s="8"/>
      <c r="AF85" s="8"/>
      <c r="AG85" s="8"/>
      <c r="AH85" s="8"/>
      <c r="AI85" s="8"/>
      <c r="AJ85" s="9"/>
      <c r="AK85" s="54" t="str">
        <f t="shared" si="4"/>
        <v/>
      </c>
      <c r="AL85" s="11"/>
      <c r="AM8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5" s="119">
        <f>IF(DONNEES[[#This Row],[DATE
PAIEMT]]="",0,DONNEES[[#This Row],[DATE
PAIEMT]])</f>
        <v>0</v>
      </c>
    </row>
    <row r="86" spans="1:40" x14ac:dyDescent="0.25">
      <c r="A86" s="97">
        <f>DONNEES[[#This Row],[AM]]</f>
        <v>44896</v>
      </c>
      <c r="B86" s="95">
        <f>WEEKDAY(DONNEES[[#This Row],[JOUR]],2)</f>
        <v>4</v>
      </c>
      <c r="C86" s="99">
        <f>_xlfn.ISOWEEKNUM(DONNEES[[#This Row],[AM]]-1)</f>
        <v>48</v>
      </c>
      <c r="D86" s="92">
        <v>44896</v>
      </c>
      <c r="E86" s="93">
        <f>DONNEES[[#This Row],[AM]]+1</f>
        <v>44897</v>
      </c>
      <c r="F86" s="14" t="s">
        <v>38</v>
      </c>
      <c r="G86" s="85">
        <v>6</v>
      </c>
      <c r="H86" s="13">
        <v>1</v>
      </c>
      <c r="I86" s="103" t="s">
        <v>134</v>
      </c>
      <c r="J86" s="14" t="s">
        <v>21</v>
      </c>
      <c r="K86" s="15">
        <v>175</v>
      </c>
      <c r="L86" s="16"/>
      <c r="M86" s="16"/>
      <c r="N86" s="17"/>
      <c r="O86" s="11"/>
      <c r="P86" s="8"/>
      <c r="Q86" s="8"/>
      <c r="R86" s="8"/>
      <c r="S86" s="8"/>
      <c r="T86" s="8"/>
      <c r="U86" s="8"/>
      <c r="V86" s="8"/>
      <c r="W86" s="9"/>
      <c r="X86" s="7"/>
      <c r="Y86" s="9"/>
      <c r="Z86" s="6" t="str">
        <f>IF(SUM(O86:W86)=0,IF(DONNEES[[#This Row],[ACPTE RECU]]-DONNEES[[#This Row],[ACPTE RENDU]]=0,"",DONNEES[[#This Row],[ACPTE RECU]]-DONNEES[[#This Row],[ACPTE RENDU]]),SUM(O86:W86)+DONNEES[[#This Row],[ACPTE RECU]]-DONNEES[[#This Row],[ACPTE RENDU]])</f>
        <v/>
      </c>
      <c r="AA86" s="12" t="str">
        <f>IF(DONNEES[[#This Row],[DEP
REC]]="D",DONNEES[[#This Row],[DEPART]],"")</f>
        <v/>
      </c>
      <c r="AB86" s="53"/>
      <c r="AC86" s="8"/>
      <c r="AD86" s="8"/>
      <c r="AE86" s="8"/>
      <c r="AF86" s="8"/>
      <c r="AG86" s="8"/>
      <c r="AH86" s="8"/>
      <c r="AI86" s="8"/>
      <c r="AJ86" s="9"/>
      <c r="AK86" s="54" t="str">
        <f t="shared" si="4"/>
        <v/>
      </c>
      <c r="AL86" s="11"/>
      <c r="AM8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6" s="119">
        <f>IF(DONNEES[[#This Row],[DATE
PAIEMT]]="",0,DONNEES[[#This Row],[DATE
PAIEMT]])</f>
        <v>0</v>
      </c>
    </row>
    <row r="87" spans="1:40" x14ac:dyDescent="0.25">
      <c r="A87" s="97">
        <f>DONNEES[[#This Row],[AM]]</f>
        <v>44896</v>
      </c>
      <c r="B87" s="95">
        <f>WEEKDAY(DONNEES[[#This Row],[JOUR]],2)</f>
        <v>4</v>
      </c>
      <c r="C87" s="99">
        <f>_xlfn.ISOWEEKNUM(DONNEES[[#This Row],[AM]]-1)</f>
        <v>48</v>
      </c>
      <c r="D87" s="92">
        <v>44896</v>
      </c>
      <c r="E87" s="93">
        <f>DONNEES[[#This Row],[AM]]+1</f>
        <v>44897</v>
      </c>
      <c r="F87" s="14" t="s">
        <v>37</v>
      </c>
      <c r="G87" s="85">
        <v>14</v>
      </c>
      <c r="H87" s="13">
        <v>1</v>
      </c>
      <c r="I87" s="103" t="s">
        <v>130</v>
      </c>
      <c r="J87" s="14" t="s">
        <v>39</v>
      </c>
      <c r="K87" s="15">
        <v>141</v>
      </c>
      <c r="L87" s="16"/>
      <c r="M87" s="16"/>
      <c r="N87" s="17"/>
      <c r="O87" s="11">
        <f>181+141</f>
        <v>322</v>
      </c>
      <c r="P87" s="8"/>
      <c r="Q87" s="8"/>
      <c r="R87" s="8"/>
      <c r="S87" s="8"/>
      <c r="T87" s="8"/>
      <c r="U87" s="8"/>
      <c r="V87" s="8"/>
      <c r="W87" s="9">
        <v>1.8</v>
      </c>
      <c r="X87" s="7"/>
      <c r="Y87" s="9"/>
      <c r="Z87" s="6">
        <f>IF(SUM(O87:W87)=0,IF(DONNEES[[#This Row],[ACPTE RECU]]-DONNEES[[#This Row],[ACPTE RENDU]]=0,"",DONNEES[[#This Row],[ACPTE RECU]]-DONNEES[[#This Row],[ACPTE RENDU]]),SUM(O87:W87)+DONNEES[[#This Row],[ACPTE RECU]]-DONNEES[[#This Row],[ACPTE RENDU]])</f>
        <v>323.8</v>
      </c>
      <c r="AA87" s="12">
        <f>IF(DONNEES[[#This Row],[DEP
REC]]="D",DONNEES[[#This Row],[DEPART]],"")</f>
        <v>44897</v>
      </c>
      <c r="AB87" s="53">
        <v>323.8</v>
      </c>
      <c r="AC87" s="8"/>
      <c r="AD87" s="8"/>
      <c r="AE87" s="8"/>
      <c r="AF87" s="8"/>
      <c r="AG87" s="8"/>
      <c r="AH87" s="8"/>
      <c r="AI87" s="8"/>
      <c r="AJ87" s="9"/>
      <c r="AK87" s="54">
        <f t="shared" si="4"/>
        <v>323.8</v>
      </c>
      <c r="AL87" s="11"/>
      <c r="AM8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7" s="119">
        <f>IF(DONNEES[[#This Row],[DATE
PAIEMT]]="",0,DONNEES[[#This Row],[DATE
PAIEMT]])</f>
        <v>44897</v>
      </c>
    </row>
    <row r="88" spans="1:40" x14ac:dyDescent="0.25">
      <c r="A88" s="97">
        <f>DONNEES[[#This Row],[AM]]</f>
        <v>44896</v>
      </c>
      <c r="B88" s="95">
        <f>WEEKDAY(DONNEES[[#This Row],[JOUR]],2)</f>
        <v>4</v>
      </c>
      <c r="C88" s="99">
        <f>_xlfn.ISOWEEKNUM(DONNEES[[#This Row],[AM]]-1)</f>
        <v>48</v>
      </c>
      <c r="D88" s="92">
        <v>44896</v>
      </c>
      <c r="E88" s="93">
        <f>DONNEES[[#This Row],[AM]]+1</f>
        <v>44897</v>
      </c>
      <c r="F88" s="14" t="s">
        <v>37</v>
      </c>
      <c r="G88" s="85">
        <v>16</v>
      </c>
      <c r="H88" s="13">
        <v>2</v>
      </c>
      <c r="I88" s="103" t="s">
        <v>131</v>
      </c>
      <c r="J88" s="14" t="s">
        <v>21</v>
      </c>
      <c r="K88" s="15">
        <v>250</v>
      </c>
      <c r="L88" s="16"/>
      <c r="M88" s="16"/>
      <c r="N88" s="17"/>
      <c r="O88" s="11">
        <f>2*250.9</f>
        <v>501.8</v>
      </c>
      <c r="P88" s="8">
        <v>24</v>
      </c>
      <c r="Q88" s="8"/>
      <c r="R88" s="8"/>
      <c r="S88" s="8"/>
      <c r="T88" s="8"/>
      <c r="U88" s="8"/>
      <c r="V88" s="8"/>
      <c r="W88" s="9">
        <v>1.8</v>
      </c>
      <c r="X88" s="7"/>
      <c r="Y88" s="9"/>
      <c r="Z88" s="6">
        <f>IF(SUM(O88:W88)=0,IF(DONNEES[[#This Row],[ACPTE RECU]]-DONNEES[[#This Row],[ACPTE RENDU]]=0,"",DONNEES[[#This Row],[ACPTE RECU]]-DONNEES[[#This Row],[ACPTE RENDU]]),SUM(O88:W88)+DONNEES[[#This Row],[ACPTE RECU]]-DONNEES[[#This Row],[ACPTE RENDU]])</f>
        <v>527.59999999999991</v>
      </c>
      <c r="AA88" s="12">
        <v>44896</v>
      </c>
      <c r="AB88" s="53">
        <v>527.6</v>
      </c>
      <c r="AC88" s="8"/>
      <c r="AD88" s="8"/>
      <c r="AE88" s="8"/>
      <c r="AF88" s="8"/>
      <c r="AG88" s="8"/>
      <c r="AH88" s="8"/>
      <c r="AI88" s="8"/>
      <c r="AJ88" s="9"/>
      <c r="AK88" s="54">
        <f t="shared" si="4"/>
        <v>527.6</v>
      </c>
      <c r="AL88" s="11"/>
      <c r="AM8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8" s="119">
        <f>IF(DONNEES[[#This Row],[DATE
PAIEMT]]="",0,DONNEES[[#This Row],[DATE
PAIEMT]])</f>
        <v>44896</v>
      </c>
    </row>
    <row r="89" spans="1:40" x14ac:dyDescent="0.25">
      <c r="A89" s="97">
        <f>DONNEES[[#This Row],[AM]]</f>
        <v>44897</v>
      </c>
      <c r="B89" s="95">
        <f>WEEKDAY(DONNEES[[#This Row],[JOUR]],2)</f>
        <v>5</v>
      </c>
      <c r="C89" s="99">
        <f>_xlfn.ISOWEEKNUM(DONNEES[[#This Row],[AM]]-1)</f>
        <v>48</v>
      </c>
      <c r="D89" s="92">
        <v>44897</v>
      </c>
      <c r="E89" s="93">
        <f>DONNEES[[#This Row],[AM]]+1</f>
        <v>44898</v>
      </c>
      <c r="F89" s="14" t="s">
        <v>37</v>
      </c>
      <c r="G89" s="85">
        <v>26</v>
      </c>
      <c r="H89" s="13">
        <v>2</v>
      </c>
      <c r="I89" s="103" t="s">
        <v>135</v>
      </c>
      <c r="J89" s="14" t="s">
        <v>39</v>
      </c>
      <c r="K89" s="15">
        <v>147</v>
      </c>
      <c r="L89" s="16"/>
      <c r="M89" s="16">
        <v>1</v>
      </c>
      <c r="N89" s="17"/>
      <c r="O89" s="11">
        <v>147.9</v>
      </c>
      <c r="P89" s="8"/>
      <c r="Q89" s="8"/>
      <c r="R89" s="8"/>
      <c r="S89" s="8"/>
      <c r="T89" s="8">
        <v>15</v>
      </c>
      <c r="U89" s="8"/>
      <c r="V89" s="8"/>
      <c r="W89" s="9">
        <v>0.9</v>
      </c>
      <c r="X89" s="7"/>
      <c r="Y89" s="9"/>
      <c r="Z89" s="6">
        <f>IF(SUM(O89:W89)=0,IF(DONNEES[[#This Row],[ACPTE RECU]]-DONNEES[[#This Row],[ACPTE RENDU]]=0,"",DONNEES[[#This Row],[ACPTE RECU]]-DONNEES[[#This Row],[ACPTE RENDU]]),SUM(O89:W89)+DONNEES[[#This Row],[ACPTE RECU]]-DONNEES[[#This Row],[ACPTE RENDU]])</f>
        <v>163.80000000000001</v>
      </c>
      <c r="AA89" s="12">
        <f>IF(DONNEES[[#This Row],[DEP
REC]]="D",DONNEES[[#This Row],[DEPART]],"")</f>
        <v>44898</v>
      </c>
      <c r="AB89" s="53">
        <v>163.80000000000001</v>
      </c>
      <c r="AC89" s="8"/>
      <c r="AD89" s="8"/>
      <c r="AE89" s="8"/>
      <c r="AF89" s="8"/>
      <c r="AG89" s="8"/>
      <c r="AH89" s="8"/>
      <c r="AI89" s="8"/>
      <c r="AJ89" s="9"/>
      <c r="AK89" s="54">
        <f t="shared" ref="AK89:AK97" si="5">IF(SUM(AB89:AJ89)=0,"",SUM(AB89:AJ89))</f>
        <v>163.80000000000001</v>
      </c>
      <c r="AL89" s="11"/>
      <c r="AM8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89" s="119">
        <f>IF(DONNEES[[#This Row],[DATE
PAIEMT]]="",0,DONNEES[[#This Row],[DATE
PAIEMT]])</f>
        <v>44898</v>
      </c>
    </row>
    <row r="90" spans="1:40" x14ac:dyDescent="0.25">
      <c r="A90" s="97">
        <f>DONNEES[[#This Row],[AM]]</f>
        <v>44897</v>
      </c>
      <c r="B90" s="95">
        <f>WEEKDAY(DONNEES[[#This Row],[JOUR]],2)</f>
        <v>5</v>
      </c>
      <c r="C90" s="99">
        <f>_xlfn.ISOWEEKNUM(DONNEES[[#This Row],[AM]]-1)</f>
        <v>48</v>
      </c>
      <c r="D90" s="92">
        <v>44897</v>
      </c>
      <c r="E90" s="93">
        <f>DONNEES[[#This Row],[AM]]+1</f>
        <v>44898</v>
      </c>
      <c r="F90" s="14" t="s">
        <v>37</v>
      </c>
      <c r="G90" s="85">
        <v>27</v>
      </c>
      <c r="H90" s="13">
        <v>2</v>
      </c>
      <c r="I90" s="103" t="s">
        <v>136</v>
      </c>
      <c r="J90" s="14" t="s">
        <v>39</v>
      </c>
      <c r="K90" s="15">
        <v>132.30000000000001</v>
      </c>
      <c r="L90" s="16"/>
      <c r="M90" s="16"/>
      <c r="N90" s="17"/>
      <c r="O90" s="11">
        <v>133.19999999999999</v>
      </c>
      <c r="P90" s="8"/>
      <c r="Q90" s="8"/>
      <c r="R90" s="8"/>
      <c r="S90" s="8"/>
      <c r="T90" s="8"/>
      <c r="U90" s="8"/>
      <c r="V90" s="8"/>
      <c r="W90" s="9">
        <v>0.9</v>
      </c>
      <c r="X90" s="7"/>
      <c r="Y90" s="9"/>
      <c r="Z90" s="6">
        <f>IF(SUM(O90:W90)=0,IF(DONNEES[[#This Row],[ACPTE RECU]]-DONNEES[[#This Row],[ACPTE RENDU]]=0,"",DONNEES[[#This Row],[ACPTE RECU]]-DONNEES[[#This Row],[ACPTE RENDU]]),SUM(O90:W90)+DONNEES[[#This Row],[ACPTE RECU]]-DONNEES[[#This Row],[ACPTE RENDU]])</f>
        <v>134.1</v>
      </c>
      <c r="AA90" s="12">
        <f>IF(DONNEES[[#This Row],[DEP
REC]]="D",DONNEES[[#This Row],[DEPART]],"")</f>
        <v>44898</v>
      </c>
      <c r="AB90" s="53">
        <v>158.4</v>
      </c>
      <c r="AC90" s="8"/>
      <c r="AD90" s="8"/>
      <c r="AE90" s="8"/>
      <c r="AF90" s="8"/>
      <c r="AG90" s="8"/>
      <c r="AH90" s="8"/>
      <c r="AI90" s="8"/>
      <c r="AJ90" s="9"/>
      <c r="AK90" s="54">
        <f t="shared" si="5"/>
        <v>158.4</v>
      </c>
      <c r="AL90" s="11"/>
      <c r="AM90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-24.300000000000011</v>
      </c>
      <c r="AN90" s="119">
        <f>IF(DONNEES[[#This Row],[DATE
PAIEMT]]="",0,DONNEES[[#This Row],[DATE
PAIEMT]])</f>
        <v>44898</v>
      </c>
    </row>
    <row r="91" spans="1:40" x14ac:dyDescent="0.25">
      <c r="A91" s="97">
        <f>DONNEES[[#This Row],[AM]]</f>
        <v>44897</v>
      </c>
      <c r="B91" s="95">
        <f>WEEKDAY(DONNEES[[#This Row],[JOUR]],2)</f>
        <v>5</v>
      </c>
      <c r="C91" s="99">
        <f>_xlfn.ISOWEEKNUM(DONNEES[[#This Row],[AM]]-1)</f>
        <v>48</v>
      </c>
      <c r="D91" s="92">
        <v>44897</v>
      </c>
      <c r="E91" s="93">
        <f>DONNEES[[#This Row],[AM]]+1</f>
        <v>44898</v>
      </c>
      <c r="F91" s="14" t="s">
        <v>38</v>
      </c>
      <c r="G91" s="85">
        <v>5</v>
      </c>
      <c r="H91" s="13">
        <v>2</v>
      </c>
      <c r="I91" s="103" t="s">
        <v>134</v>
      </c>
      <c r="J91" s="14" t="s">
        <v>21</v>
      </c>
      <c r="K91" s="15">
        <v>169</v>
      </c>
      <c r="L91" s="16">
        <v>2</v>
      </c>
      <c r="M91" s="16">
        <v>1</v>
      </c>
      <c r="N91" s="17"/>
      <c r="O91" s="11"/>
      <c r="P91" s="8"/>
      <c r="Q91" s="8"/>
      <c r="R91" s="8"/>
      <c r="S91" s="8"/>
      <c r="T91" s="8"/>
      <c r="U91" s="8"/>
      <c r="V91" s="8"/>
      <c r="W91" s="9"/>
      <c r="X91" s="7"/>
      <c r="Y91" s="9"/>
      <c r="Z91" s="6" t="str">
        <f>IF(SUM(O91:W91)=0,IF(DONNEES[[#This Row],[ACPTE RECU]]-DONNEES[[#This Row],[ACPTE RENDU]]=0,"",DONNEES[[#This Row],[ACPTE RECU]]-DONNEES[[#This Row],[ACPTE RENDU]]),SUM(O91:W91)+DONNEES[[#This Row],[ACPTE RECU]]-DONNEES[[#This Row],[ACPTE RENDU]])</f>
        <v/>
      </c>
      <c r="AA91" s="12" t="str">
        <f>IF(DONNEES[[#This Row],[DEP
REC]]="D",DONNEES[[#This Row],[DEPART]],"")</f>
        <v/>
      </c>
      <c r="AB91" s="53"/>
      <c r="AC91" s="8"/>
      <c r="AD91" s="8"/>
      <c r="AE91" s="8"/>
      <c r="AF91" s="8"/>
      <c r="AG91" s="8"/>
      <c r="AH91" s="8"/>
      <c r="AI91" s="8"/>
      <c r="AJ91" s="9"/>
      <c r="AK91" s="54" t="str">
        <f t="shared" si="5"/>
        <v/>
      </c>
      <c r="AL91" s="11"/>
      <c r="AM9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1" s="119">
        <f>IF(DONNEES[[#This Row],[DATE
PAIEMT]]="",0,DONNEES[[#This Row],[DATE
PAIEMT]])</f>
        <v>0</v>
      </c>
    </row>
    <row r="92" spans="1:40" x14ac:dyDescent="0.25">
      <c r="A92" s="97">
        <f>DONNEES[[#This Row],[AM]]</f>
        <v>44897</v>
      </c>
      <c r="B92" s="95">
        <f>WEEKDAY(DONNEES[[#This Row],[JOUR]],2)</f>
        <v>5</v>
      </c>
      <c r="C92" s="99">
        <f>_xlfn.ISOWEEKNUM(DONNEES[[#This Row],[AM]]-1)</f>
        <v>48</v>
      </c>
      <c r="D92" s="92">
        <v>44897</v>
      </c>
      <c r="E92" s="93">
        <f>DONNEES[[#This Row],[AM]]+1</f>
        <v>44898</v>
      </c>
      <c r="F92" s="14" t="s">
        <v>38</v>
      </c>
      <c r="G92" s="85">
        <v>20</v>
      </c>
      <c r="H92" s="13">
        <v>2</v>
      </c>
      <c r="I92" s="103" t="s">
        <v>124</v>
      </c>
      <c r="J92" s="14" t="s">
        <v>39</v>
      </c>
      <c r="K92" s="15">
        <v>147.6</v>
      </c>
      <c r="L92" s="16"/>
      <c r="M92" s="16"/>
      <c r="N92" s="17"/>
      <c r="O92" s="11"/>
      <c r="P92" s="8"/>
      <c r="Q92" s="8"/>
      <c r="R92" s="8"/>
      <c r="S92" s="8"/>
      <c r="T92" s="8"/>
      <c r="U92" s="8"/>
      <c r="V92" s="8"/>
      <c r="W92" s="9"/>
      <c r="X92" s="7"/>
      <c r="Y92" s="9"/>
      <c r="Z92" s="6" t="str">
        <f>IF(SUM(O92:W92)=0,IF(DONNEES[[#This Row],[ACPTE RECU]]-DONNEES[[#This Row],[ACPTE RENDU]]=0,"",DONNEES[[#This Row],[ACPTE RECU]]-DONNEES[[#This Row],[ACPTE RENDU]]),SUM(O92:W92)+DONNEES[[#This Row],[ACPTE RECU]]-DONNEES[[#This Row],[ACPTE RENDU]])</f>
        <v/>
      </c>
      <c r="AA92" s="12" t="str">
        <f>IF(DONNEES[[#This Row],[DEP
REC]]="D",DONNEES[[#This Row],[DEPART]],"")</f>
        <v/>
      </c>
      <c r="AB92" s="53"/>
      <c r="AC92" s="8"/>
      <c r="AD92" s="8"/>
      <c r="AE92" s="8"/>
      <c r="AF92" s="8"/>
      <c r="AG92" s="8"/>
      <c r="AH92" s="8"/>
      <c r="AI92" s="8"/>
      <c r="AJ92" s="9"/>
      <c r="AK92" s="54" t="str">
        <f t="shared" si="5"/>
        <v/>
      </c>
      <c r="AL92" s="11"/>
      <c r="AM9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2" s="119">
        <f>IF(DONNEES[[#This Row],[DATE
PAIEMT]]="",0,DONNEES[[#This Row],[DATE
PAIEMT]])</f>
        <v>0</v>
      </c>
    </row>
    <row r="93" spans="1:40" x14ac:dyDescent="0.25">
      <c r="A93" s="97">
        <f>DONNEES[[#This Row],[AM]]</f>
        <v>44897</v>
      </c>
      <c r="B93" s="95">
        <f>WEEKDAY(DONNEES[[#This Row],[JOUR]],2)</f>
        <v>5</v>
      </c>
      <c r="C93" s="99">
        <f>_xlfn.ISOWEEKNUM(DONNEES[[#This Row],[AM]]-1)</f>
        <v>48</v>
      </c>
      <c r="D93" s="92">
        <v>44897</v>
      </c>
      <c r="E93" s="93">
        <f>DONNEES[[#This Row],[AM]]+1</f>
        <v>44898</v>
      </c>
      <c r="F93" s="14" t="s">
        <v>37</v>
      </c>
      <c r="G93" s="85">
        <v>21</v>
      </c>
      <c r="H93" s="13">
        <v>2</v>
      </c>
      <c r="I93" s="103" t="s">
        <v>137</v>
      </c>
      <c r="J93" s="14" t="s">
        <v>39</v>
      </c>
      <c r="K93" s="15">
        <v>157.5</v>
      </c>
      <c r="L93" s="16"/>
      <c r="M93" s="16"/>
      <c r="N93" s="17"/>
      <c r="O93" s="11">
        <v>158.4</v>
      </c>
      <c r="P93" s="8"/>
      <c r="Q93" s="8"/>
      <c r="R93" s="8"/>
      <c r="S93" s="8"/>
      <c r="T93" s="8"/>
      <c r="U93" s="8"/>
      <c r="V93" s="8"/>
      <c r="W93" s="9">
        <v>0.9</v>
      </c>
      <c r="X93" s="7"/>
      <c r="Y93" s="9"/>
      <c r="Z93" s="6">
        <f>IF(SUM(O93:W93)=0,IF(DONNEES[[#This Row],[ACPTE RECU]]-DONNEES[[#This Row],[ACPTE RENDU]]=0,"",DONNEES[[#This Row],[ACPTE RECU]]-DONNEES[[#This Row],[ACPTE RENDU]]),SUM(O93:W93)+DONNEES[[#This Row],[ACPTE RECU]]-DONNEES[[#This Row],[ACPTE RENDU]])</f>
        <v>159.30000000000001</v>
      </c>
      <c r="AA93" s="12">
        <f>IF(DONNEES[[#This Row],[DEP
REC]]="D",DONNEES[[#This Row],[DEPART]],"")</f>
        <v>44898</v>
      </c>
      <c r="AB93" s="53">
        <v>159.30000000000001</v>
      </c>
      <c r="AC93" s="8"/>
      <c r="AD93" s="8"/>
      <c r="AE93" s="8"/>
      <c r="AF93" s="8"/>
      <c r="AG93" s="8"/>
      <c r="AH93" s="8"/>
      <c r="AI93" s="8"/>
      <c r="AJ93" s="9"/>
      <c r="AK93" s="54">
        <f t="shared" si="5"/>
        <v>159.30000000000001</v>
      </c>
      <c r="AL93" s="11"/>
      <c r="AM9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3" s="119">
        <f>IF(DONNEES[[#This Row],[DATE
PAIEMT]]="",0,DONNEES[[#This Row],[DATE
PAIEMT]])</f>
        <v>44898</v>
      </c>
    </row>
    <row r="94" spans="1:40" x14ac:dyDescent="0.25">
      <c r="A94" s="97">
        <f>DONNEES[[#This Row],[AM]]</f>
        <v>44897</v>
      </c>
      <c r="B94" s="95">
        <f>WEEKDAY(DONNEES[[#This Row],[JOUR]],2)</f>
        <v>5</v>
      </c>
      <c r="C94" s="99">
        <f>_xlfn.ISOWEEKNUM(DONNEES[[#This Row],[AM]]-1)</f>
        <v>48</v>
      </c>
      <c r="D94" s="92">
        <v>44897</v>
      </c>
      <c r="E94" s="93">
        <f>DONNEES[[#This Row],[AM]]+1</f>
        <v>44898</v>
      </c>
      <c r="F94" s="14" t="s">
        <v>38</v>
      </c>
      <c r="G94" s="85">
        <v>6</v>
      </c>
      <c r="H94" s="13">
        <v>3</v>
      </c>
      <c r="I94" s="103" t="s">
        <v>134</v>
      </c>
      <c r="J94" s="14" t="s">
        <v>21</v>
      </c>
      <c r="K94" s="15">
        <v>205</v>
      </c>
      <c r="L94" s="16">
        <v>3</v>
      </c>
      <c r="M94" s="16"/>
      <c r="N94" s="17">
        <v>5</v>
      </c>
      <c r="O94" s="11"/>
      <c r="P94" s="8"/>
      <c r="Q94" s="8"/>
      <c r="R94" s="8"/>
      <c r="S94" s="8"/>
      <c r="T94" s="8"/>
      <c r="U94" s="8"/>
      <c r="V94" s="8"/>
      <c r="W94" s="9"/>
      <c r="X94" s="7"/>
      <c r="Y94" s="9"/>
      <c r="Z94" s="6" t="str">
        <f>IF(SUM(O94:W94)=0,IF(DONNEES[[#This Row],[ACPTE RECU]]-DONNEES[[#This Row],[ACPTE RENDU]]=0,"",DONNEES[[#This Row],[ACPTE RECU]]-DONNEES[[#This Row],[ACPTE RENDU]]),SUM(O94:W94)+DONNEES[[#This Row],[ACPTE RECU]]-DONNEES[[#This Row],[ACPTE RENDU]])</f>
        <v/>
      </c>
      <c r="AA94" s="12" t="str">
        <f>IF(DONNEES[[#This Row],[DEP
REC]]="D",DONNEES[[#This Row],[DEPART]],"")</f>
        <v/>
      </c>
      <c r="AB94" s="53"/>
      <c r="AC94" s="8"/>
      <c r="AD94" s="8"/>
      <c r="AE94" s="8"/>
      <c r="AF94" s="8"/>
      <c r="AG94" s="8"/>
      <c r="AH94" s="8"/>
      <c r="AI94" s="8"/>
      <c r="AJ94" s="9"/>
      <c r="AK94" s="54" t="str">
        <f t="shared" si="5"/>
        <v/>
      </c>
      <c r="AL94" s="11"/>
      <c r="AM9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4" s="119">
        <f>IF(DONNEES[[#This Row],[DATE
PAIEMT]]="",0,DONNEES[[#This Row],[DATE
PAIEMT]])</f>
        <v>0</v>
      </c>
    </row>
    <row r="95" spans="1:40" x14ac:dyDescent="0.25">
      <c r="A95" s="97">
        <f>DONNEES[[#This Row],[AM]]</f>
        <v>44897</v>
      </c>
      <c r="B95" s="95">
        <f>WEEKDAY(DONNEES[[#This Row],[JOUR]],2)</f>
        <v>5</v>
      </c>
      <c r="C95" s="99">
        <f>_xlfn.ISOWEEKNUM(DONNEES[[#This Row],[AM]]-1)</f>
        <v>48</v>
      </c>
      <c r="D95" s="92">
        <v>44897</v>
      </c>
      <c r="E95" s="93">
        <f>DONNEES[[#This Row],[AM]]+1</f>
        <v>44898</v>
      </c>
      <c r="F95" s="14" t="s">
        <v>37</v>
      </c>
      <c r="G95" s="85">
        <v>15</v>
      </c>
      <c r="H95" s="13">
        <v>3</v>
      </c>
      <c r="I95" s="103" t="s">
        <v>138</v>
      </c>
      <c r="J95" s="14" t="s">
        <v>21</v>
      </c>
      <c r="K95" s="15">
        <v>122.4</v>
      </c>
      <c r="L95" s="16">
        <v>2</v>
      </c>
      <c r="M95" s="16"/>
      <c r="N95" s="17"/>
      <c r="O95" s="11">
        <f>122.4+1.8</f>
        <v>124.2</v>
      </c>
      <c r="P95" s="8">
        <v>24</v>
      </c>
      <c r="Q95" s="8"/>
      <c r="R95" s="8"/>
      <c r="S95" s="8"/>
      <c r="T95" s="8"/>
      <c r="U95" s="8"/>
      <c r="V95" s="8"/>
      <c r="W95" s="9">
        <v>0.9</v>
      </c>
      <c r="X95" s="7"/>
      <c r="Y95" s="9"/>
      <c r="Z95" s="6">
        <f>IF(SUM(O95:W95)=0,IF(DONNEES[[#This Row],[ACPTE RECU]]-DONNEES[[#This Row],[ACPTE RENDU]]=0,"",DONNEES[[#This Row],[ACPTE RECU]]-DONNEES[[#This Row],[ACPTE RENDU]]),SUM(O95:W95)+DONNEES[[#This Row],[ACPTE RECU]]-DONNEES[[#This Row],[ACPTE RENDU]])</f>
        <v>149.1</v>
      </c>
      <c r="AA95" s="12">
        <f>IF(DONNEES[[#This Row],[DEP
REC]]="D",DONNEES[[#This Row],[DEPART]],"")</f>
        <v>44898</v>
      </c>
      <c r="AB95" s="53">
        <v>149.1</v>
      </c>
      <c r="AC95" s="8"/>
      <c r="AD95" s="8"/>
      <c r="AE95" s="8"/>
      <c r="AF95" s="8"/>
      <c r="AG95" s="8"/>
      <c r="AH95" s="8"/>
      <c r="AI95" s="8"/>
      <c r="AJ95" s="9"/>
      <c r="AK95" s="54">
        <f t="shared" si="5"/>
        <v>149.1</v>
      </c>
      <c r="AL95" s="11"/>
      <c r="AM9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5" s="119">
        <f>IF(DONNEES[[#This Row],[DATE
PAIEMT]]="",0,DONNEES[[#This Row],[DATE
PAIEMT]])</f>
        <v>44898</v>
      </c>
    </row>
    <row r="96" spans="1:40" x14ac:dyDescent="0.25">
      <c r="A96" s="97">
        <f>DONNEES[[#This Row],[AM]]</f>
        <v>44897</v>
      </c>
      <c r="B96" s="95">
        <f>WEEKDAY(DONNEES[[#This Row],[JOUR]],2)</f>
        <v>5</v>
      </c>
      <c r="C96" s="99">
        <f>_xlfn.ISOWEEKNUM(DONNEES[[#This Row],[AM]]-1)</f>
        <v>48</v>
      </c>
      <c r="D96" s="92">
        <v>44897</v>
      </c>
      <c r="E96" s="93">
        <f>DONNEES[[#This Row],[AM]]+1</f>
        <v>44898</v>
      </c>
      <c r="F96" s="14" t="s">
        <v>38</v>
      </c>
      <c r="G96" s="85">
        <v>16</v>
      </c>
      <c r="H96" s="13">
        <v>2</v>
      </c>
      <c r="I96" s="103" t="s">
        <v>134</v>
      </c>
      <c r="J96" s="14" t="s">
        <v>21</v>
      </c>
      <c r="K96" s="15">
        <v>180</v>
      </c>
      <c r="L96" s="16">
        <v>1</v>
      </c>
      <c r="M96" s="16">
        <v>1</v>
      </c>
      <c r="N96" s="17"/>
      <c r="O96" s="11"/>
      <c r="P96" s="8"/>
      <c r="Q96" s="8"/>
      <c r="R96" s="8"/>
      <c r="S96" s="8"/>
      <c r="T96" s="8"/>
      <c r="U96" s="8"/>
      <c r="V96" s="8"/>
      <c r="W96" s="9"/>
      <c r="X96" s="7"/>
      <c r="Y96" s="9"/>
      <c r="Z96" s="6" t="str">
        <f>IF(SUM(O96:W96)=0,IF(DONNEES[[#This Row],[ACPTE RECU]]-DONNEES[[#This Row],[ACPTE RENDU]]=0,"",DONNEES[[#This Row],[ACPTE RECU]]-DONNEES[[#This Row],[ACPTE RENDU]]),SUM(O96:W96)+DONNEES[[#This Row],[ACPTE RECU]]-DONNEES[[#This Row],[ACPTE RENDU]])</f>
        <v/>
      </c>
      <c r="AA96" s="12" t="str">
        <f>IF(DONNEES[[#This Row],[DEP
REC]]="D",DONNEES[[#This Row],[DEPART]],"")</f>
        <v/>
      </c>
      <c r="AB96" s="53"/>
      <c r="AC96" s="8"/>
      <c r="AD96" s="8"/>
      <c r="AE96" s="8"/>
      <c r="AF96" s="8"/>
      <c r="AG96" s="8"/>
      <c r="AH96" s="8"/>
      <c r="AI96" s="8"/>
      <c r="AJ96" s="9"/>
      <c r="AK96" s="54" t="str">
        <f t="shared" si="5"/>
        <v/>
      </c>
      <c r="AL96" s="11"/>
      <c r="AM9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6" s="119">
        <f>IF(DONNEES[[#This Row],[DATE
PAIEMT]]="",0,DONNEES[[#This Row],[DATE
PAIEMT]])</f>
        <v>0</v>
      </c>
    </row>
    <row r="97" spans="1:40" x14ac:dyDescent="0.25">
      <c r="A97" s="97">
        <f>DONNEES[[#This Row],[AM]]</f>
        <v>44897</v>
      </c>
      <c r="B97" s="95">
        <f>WEEKDAY(DONNEES[[#This Row],[JOUR]],2)</f>
        <v>5</v>
      </c>
      <c r="C97" s="99">
        <f>_xlfn.ISOWEEKNUM(DONNEES[[#This Row],[AM]]-1)</f>
        <v>48</v>
      </c>
      <c r="D97" s="92">
        <v>44897</v>
      </c>
      <c r="E97" s="93">
        <f>DONNEES[[#This Row],[AM]]+1</f>
        <v>44898</v>
      </c>
      <c r="F97" s="14" t="s">
        <v>37</v>
      </c>
      <c r="G97" s="85">
        <v>24</v>
      </c>
      <c r="H97" s="13">
        <v>2</v>
      </c>
      <c r="I97" s="103" t="s">
        <v>139</v>
      </c>
      <c r="J97" s="14" t="s">
        <v>39</v>
      </c>
      <c r="K97" s="15">
        <v>208.8</v>
      </c>
      <c r="L97" s="16"/>
      <c r="M97" s="16"/>
      <c r="N97" s="17"/>
      <c r="O97" s="11">
        <v>209.7</v>
      </c>
      <c r="P97" s="8"/>
      <c r="Q97" s="8"/>
      <c r="R97" s="8"/>
      <c r="S97" s="8"/>
      <c r="T97" s="8"/>
      <c r="U97" s="8"/>
      <c r="V97" s="8"/>
      <c r="W97" s="9">
        <v>0.9</v>
      </c>
      <c r="X97" s="7"/>
      <c r="Y97" s="9"/>
      <c r="Z97" s="6">
        <f>IF(SUM(O97:W97)=0,IF(DONNEES[[#This Row],[ACPTE RECU]]-DONNEES[[#This Row],[ACPTE RENDU]]=0,"",DONNEES[[#This Row],[ACPTE RECU]]-DONNEES[[#This Row],[ACPTE RENDU]]),SUM(O97:W97)+DONNEES[[#This Row],[ACPTE RECU]]-DONNEES[[#This Row],[ACPTE RENDU]])</f>
        <v>210.6</v>
      </c>
      <c r="AA97" s="12">
        <f>IF(DONNEES[[#This Row],[DEP
REC]]="D",DONNEES[[#This Row],[DEPART]],"")</f>
        <v>44898</v>
      </c>
      <c r="AB97" s="53">
        <v>186.3</v>
      </c>
      <c r="AC97" s="8"/>
      <c r="AD97" s="8"/>
      <c r="AE97" s="8"/>
      <c r="AF97" s="8"/>
      <c r="AG97" s="8"/>
      <c r="AH97" s="8"/>
      <c r="AI97" s="8"/>
      <c r="AJ97" s="9"/>
      <c r="AK97" s="54">
        <f t="shared" si="5"/>
        <v>186.3</v>
      </c>
      <c r="AL97" s="11"/>
      <c r="AM97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24.299999999999983</v>
      </c>
      <c r="AN97" s="119">
        <f>IF(DONNEES[[#This Row],[DATE
PAIEMT]]="",0,DONNEES[[#This Row],[DATE
PAIEMT]])</f>
        <v>44898</v>
      </c>
    </row>
    <row r="98" spans="1:40" x14ac:dyDescent="0.25">
      <c r="A98" s="97">
        <f>DONNEES[[#This Row],[AM]]</f>
        <v>44897</v>
      </c>
      <c r="B98" s="95">
        <f>WEEKDAY(DONNEES[[#This Row],[JOUR]],2)</f>
        <v>5</v>
      </c>
      <c r="C98" s="99">
        <f>_xlfn.ISOWEEKNUM(DONNEES[[#This Row],[AM]]-1)</f>
        <v>48</v>
      </c>
      <c r="D98" s="92">
        <v>44897</v>
      </c>
      <c r="E98" s="93">
        <f>DONNEES[[#This Row],[AM]]+1</f>
        <v>44898</v>
      </c>
      <c r="F98" s="14" t="s">
        <v>37</v>
      </c>
      <c r="G98" s="85">
        <v>1</v>
      </c>
      <c r="H98" s="13">
        <v>0</v>
      </c>
      <c r="I98" s="103" t="s">
        <v>96</v>
      </c>
      <c r="J98" s="14" t="s">
        <v>21</v>
      </c>
      <c r="K98" s="15">
        <v>55.2</v>
      </c>
      <c r="L98" s="16"/>
      <c r="M98" s="16"/>
      <c r="N98" s="17"/>
      <c r="O98" s="11">
        <v>55.2</v>
      </c>
      <c r="P98" s="8"/>
      <c r="Q98" s="8"/>
      <c r="R98" s="8"/>
      <c r="S98" s="8"/>
      <c r="T98" s="8"/>
      <c r="U98" s="8"/>
      <c r="V98" s="8"/>
      <c r="W98" s="9"/>
      <c r="X98" s="7"/>
      <c r="Y98" s="9"/>
      <c r="Z98" s="6">
        <f>IF(SUM(O98:W98)=0,IF(DONNEES[[#This Row],[ACPTE RECU]]-DONNEES[[#This Row],[ACPTE RENDU]]=0,"",DONNEES[[#This Row],[ACPTE RECU]]-DONNEES[[#This Row],[ACPTE RENDU]]),SUM(O98:W98)+DONNEES[[#This Row],[ACPTE RECU]]-DONNEES[[#This Row],[ACPTE RENDU]])</f>
        <v>55.2</v>
      </c>
      <c r="AA98" s="12">
        <v>44897</v>
      </c>
      <c r="AB98" s="53"/>
      <c r="AC98" s="8"/>
      <c r="AD98" s="8">
        <v>55.2</v>
      </c>
      <c r="AE98" s="8"/>
      <c r="AF98" s="8"/>
      <c r="AG98" s="8"/>
      <c r="AH98" s="8"/>
      <c r="AI98" s="8"/>
      <c r="AJ98" s="9"/>
      <c r="AK98" s="54">
        <f>IF(SUM(AB98:AJ98)=0,"",SUM(AB98:AJ98))</f>
        <v>55.2</v>
      </c>
      <c r="AL98" s="11"/>
      <c r="AM9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8" s="119">
        <f>IF(DONNEES[[#This Row],[DATE
PAIEMT]]="",0,DONNEES[[#This Row],[DATE
PAIEMT]])</f>
        <v>44897</v>
      </c>
    </row>
    <row r="99" spans="1:40" x14ac:dyDescent="0.25">
      <c r="A99" s="97">
        <f>DONNEES[[#This Row],[AM]]</f>
        <v>44898</v>
      </c>
      <c r="B99" s="95">
        <f>WEEKDAY(DONNEES[[#This Row],[JOUR]],2)</f>
        <v>6</v>
      </c>
      <c r="C99" s="99">
        <f>_xlfn.ISOWEEKNUM(DONNEES[[#This Row],[AM]]-1)</f>
        <v>48</v>
      </c>
      <c r="D99" s="92">
        <v>44898</v>
      </c>
      <c r="E99" s="93">
        <f>DONNEES[[#This Row],[AM]]+1</f>
        <v>44899</v>
      </c>
      <c r="F99" s="14" t="s">
        <v>37</v>
      </c>
      <c r="G99" s="85">
        <v>1</v>
      </c>
      <c r="H99" s="13">
        <v>2</v>
      </c>
      <c r="I99" s="103" t="s">
        <v>140</v>
      </c>
      <c r="J99" s="14" t="s">
        <v>21</v>
      </c>
      <c r="K99" s="15">
        <v>113</v>
      </c>
      <c r="L99" s="16">
        <v>2</v>
      </c>
      <c r="M99" s="16"/>
      <c r="N99" s="17"/>
      <c r="O99" s="11">
        <v>114.8</v>
      </c>
      <c r="P99" s="8">
        <v>24</v>
      </c>
      <c r="Q99" s="8"/>
      <c r="R99" s="8"/>
      <c r="S99" s="8"/>
      <c r="T99" s="8"/>
      <c r="U99" s="8"/>
      <c r="V99" s="8"/>
      <c r="W99" s="9">
        <v>0.9</v>
      </c>
      <c r="X99" s="7"/>
      <c r="Y99" s="9"/>
      <c r="Z99" s="6">
        <f>IF(SUM(O99:W99)=0,IF(DONNEES[[#This Row],[ACPTE RECU]]-DONNEES[[#This Row],[ACPTE RENDU]]=0,"",DONNEES[[#This Row],[ACPTE RECU]]-DONNEES[[#This Row],[ACPTE RENDU]]),SUM(O99:W99)+DONNEES[[#This Row],[ACPTE RECU]]-DONNEES[[#This Row],[ACPTE RENDU]])</f>
        <v>139.70000000000002</v>
      </c>
      <c r="AA99" s="12">
        <v>44898</v>
      </c>
      <c r="AB99" s="53">
        <v>139.69999999999999</v>
      </c>
      <c r="AC99" s="8"/>
      <c r="AD99" s="8"/>
      <c r="AE99" s="8"/>
      <c r="AF99" s="8"/>
      <c r="AG99" s="8"/>
      <c r="AH99" s="8"/>
      <c r="AI99" s="8"/>
      <c r="AJ99" s="9"/>
      <c r="AK99" s="54">
        <f t="shared" ref="AK99:AK112" si="6">IF(SUM(AB99:AJ99)=0,"",SUM(AB99:AJ99))</f>
        <v>139.69999999999999</v>
      </c>
      <c r="AL99" s="11"/>
      <c r="AM9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99" s="119">
        <f>IF(DONNEES[[#This Row],[DATE
PAIEMT]]="",0,DONNEES[[#This Row],[DATE
PAIEMT]])</f>
        <v>44898</v>
      </c>
    </row>
    <row r="100" spans="1:40" x14ac:dyDescent="0.25">
      <c r="A100" s="97">
        <f>DONNEES[[#This Row],[AM]]</f>
        <v>44898</v>
      </c>
      <c r="B100" s="95">
        <f>WEEKDAY(DONNEES[[#This Row],[JOUR]],2)</f>
        <v>6</v>
      </c>
      <c r="C100" s="99">
        <f>_xlfn.ISOWEEKNUM(DONNEES[[#This Row],[AM]]-1)</f>
        <v>48</v>
      </c>
      <c r="D100" s="92">
        <v>44898</v>
      </c>
      <c r="E100" s="93">
        <f>DONNEES[[#This Row],[AM]]+1</f>
        <v>44899</v>
      </c>
      <c r="F100" s="14" t="s">
        <v>37</v>
      </c>
      <c r="G100" s="85">
        <v>26</v>
      </c>
      <c r="H100" s="13">
        <v>2</v>
      </c>
      <c r="I100" s="103" t="s">
        <v>141</v>
      </c>
      <c r="J100" s="14" t="s">
        <v>39</v>
      </c>
      <c r="K100" s="15">
        <v>132.30000000000001</v>
      </c>
      <c r="L100" s="16"/>
      <c r="M100" s="16">
        <v>1</v>
      </c>
      <c r="N100" s="17"/>
      <c r="O100" s="11">
        <v>133.19999999999999</v>
      </c>
      <c r="P100" s="8"/>
      <c r="Q100" s="8"/>
      <c r="R100" s="8"/>
      <c r="S100" s="8"/>
      <c r="T100" s="8">
        <v>15</v>
      </c>
      <c r="U100" s="8"/>
      <c r="V100" s="8"/>
      <c r="W100" s="9">
        <v>0.9</v>
      </c>
      <c r="X100" s="7"/>
      <c r="Y100" s="9"/>
      <c r="Z100" s="6">
        <f>IF(SUM(O100:W100)=0,IF(DONNEES[[#This Row],[ACPTE RECU]]-DONNEES[[#This Row],[ACPTE RENDU]]=0,"",DONNEES[[#This Row],[ACPTE RECU]]-DONNEES[[#This Row],[ACPTE RENDU]]),SUM(O100:W100)+DONNEES[[#This Row],[ACPTE RECU]]-DONNEES[[#This Row],[ACPTE RENDU]])</f>
        <v>149.1</v>
      </c>
      <c r="AA100" s="12">
        <f>IF(DONNEES[[#This Row],[DEP
REC]]="D",DONNEES[[#This Row],[DEPART]],"")</f>
        <v>44899</v>
      </c>
      <c r="AB100" s="53">
        <v>149.1</v>
      </c>
      <c r="AC100" s="8"/>
      <c r="AD100" s="8"/>
      <c r="AE100" s="8"/>
      <c r="AF100" s="8"/>
      <c r="AG100" s="8"/>
      <c r="AH100" s="8"/>
      <c r="AI100" s="8"/>
      <c r="AJ100" s="9"/>
      <c r="AK100" s="54">
        <f t="shared" si="6"/>
        <v>149.1</v>
      </c>
      <c r="AL100" s="11"/>
      <c r="AM10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0" s="119">
        <f>IF(DONNEES[[#This Row],[DATE
PAIEMT]]="",0,DONNEES[[#This Row],[DATE
PAIEMT]])</f>
        <v>44899</v>
      </c>
    </row>
    <row r="101" spans="1:40" x14ac:dyDescent="0.25">
      <c r="A101" s="97">
        <f>DONNEES[[#This Row],[AM]]</f>
        <v>44898</v>
      </c>
      <c r="B101" s="95">
        <f>WEEKDAY(DONNEES[[#This Row],[JOUR]],2)</f>
        <v>6</v>
      </c>
      <c r="C101" s="99">
        <f>_xlfn.ISOWEEKNUM(DONNEES[[#This Row],[AM]]-1)</f>
        <v>48</v>
      </c>
      <c r="D101" s="92">
        <v>44898</v>
      </c>
      <c r="E101" s="93">
        <f>DONNEES[[#This Row],[AM]]+1</f>
        <v>44899</v>
      </c>
      <c r="F101" s="14" t="s">
        <v>38</v>
      </c>
      <c r="G101" s="85">
        <v>27</v>
      </c>
      <c r="H101" s="13">
        <v>2</v>
      </c>
      <c r="I101" s="103" t="s">
        <v>142</v>
      </c>
      <c r="J101" s="14" t="s">
        <v>39</v>
      </c>
      <c r="K101" s="15">
        <v>157.5</v>
      </c>
      <c r="L101" s="16"/>
      <c r="M101" s="16"/>
      <c r="N101" s="17"/>
      <c r="O101" s="11"/>
      <c r="P101" s="8"/>
      <c r="Q101" s="8"/>
      <c r="R101" s="8"/>
      <c r="S101" s="8"/>
      <c r="T101" s="8"/>
      <c r="U101" s="8"/>
      <c r="V101" s="8"/>
      <c r="W101" s="9"/>
      <c r="X101" s="7"/>
      <c r="Y101" s="9"/>
      <c r="Z101" s="6" t="str">
        <f>IF(SUM(O101:W101)=0,IF(DONNEES[[#This Row],[ACPTE RECU]]-DONNEES[[#This Row],[ACPTE RENDU]]=0,"",DONNEES[[#This Row],[ACPTE RECU]]-DONNEES[[#This Row],[ACPTE RENDU]]),SUM(O101:W101)+DONNEES[[#This Row],[ACPTE RECU]]-DONNEES[[#This Row],[ACPTE RENDU]])</f>
        <v/>
      </c>
      <c r="AA101" s="12" t="str">
        <f>IF(DONNEES[[#This Row],[DEP
REC]]="D",DONNEES[[#This Row],[DEPART]],"")</f>
        <v/>
      </c>
      <c r="AB101" s="53"/>
      <c r="AC101" s="8"/>
      <c r="AD101" s="8"/>
      <c r="AE101" s="8"/>
      <c r="AF101" s="8"/>
      <c r="AG101" s="8"/>
      <c r="AH101" s="8"/>
      <c r="AI101" s="8"/>
      <c r="AJ101" s="9"/>
      <c r="AK101" s="54" t="str">
        <f t="shared" si="6"/>
        <v/>
      </c>
      <c r="AL101" s="11"/>
      <c r="AM10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1" s="119">
        <f>IF(DONNEES[[#This Row],[DATE
PAIEMT]]="",0,DONNEES[[#This Row],[DATE
PAIEMT]])</f>
        <v>0</v>
      </c>
    </row>
    <row r="102" spans="1:40" x14ac:dyDescent="0.25">
      <c r="A102" s="97">
        <f>DONNEES[[#This Row],[AM]]</f>
        <v>44898</v>
      </c>
      <c r="B102" s="95">
        <f>WEEKDAY(DONNEES[[#This Row],[JOUR]],2)</f>
        <v>6</v>
      </c>
      <c r="C102" s="99">
        <f>_xlfn.ISOWEEKNUM(DONNEES[[#This Row],[AM]]-1)</f>
        <v>48</v>
      </c>
      <c r="D102" s="92">
        <v>44898</v>
      </c>
      <c r="E102" s="93">
        <f>DONNEES[[#This Row],[AM]]+1</f>
        <v>44899</v>
      </c>
      <c r="F102" s="14" t="s">
        <v>37</v>
      </c>
      <c r="G102" s="85">
        <v>5</v>
      </c>
      <c r="H102" s="13">
        <v>2</v>
      </c>
      <c r="I102" s="103" t="s">
        <v>134</v>
      </c>
      <c r="J102" s="14" t="s">
        <v>21</v>
      </c>
      <c r="K102" s="15">
        <v>169</v>
      </c>
      <c r="L102" s="16">
        <v>2</v>
      </c>
      <c r="M102" s="16">
        <v>1</v>
      </c>
      <c r="N102" s="17"/>
      <c r="O102" s="11">
        <v>339.8</v>
      </c>
      <c r="P102" s="8">
        <v>48</v>
      </c>
      <c r="Q102" s="8"/>
      <c r="R102" s="8"/>
      <c r="S102" s="8"/>
      <c r="T102" s="8">
        <v>30</v>
      </c>
      <c r="U102" s="8"/>
      <c r="V102" s="8"/>
      <c r="W102" s="9">
        <v>1.8</v>
      </c>
      <c r="X102" s="7"/>
      <c r="Y102" s="9"/>
      <c r="Z102" s="6">
        <f>IF(SUM(O102:W102)=0,IF(DONNEES[[#This Row],[ACPTE RECU]]-DONNEES[[#This Row],[ACPTE RENDU]]=0,"",DONNEES[[#This Row],[ACPTE RECU]]-DONNEES[[#This Row],[ACPTE RENDU]]),SUM(O102:W102)+DONNEES[[#This Row],[ACPTE RECU]]-DONNEES[[#This Row],[ACPTE RENDU]])</f>
        <v>419.6</v>
      </c>
      <c r="AA102" s="12">
        <f>IF(DONNEES[[#This Row],[DEP
REC]]="D",DONNEES[[#This Row],[DEPART]],"")</f>
        <v>44899</v>
      </c>
      <c r="AB102" s="53"/>
      <c r="AC102" s="8"/>
      <c r="AD102" s="8"/>
      <c r="AE102" s="8"/>
      <c r="AF102" s="8"/>
      <c r="AG102" s="8"/>
      <c r="AH102" s="8"/>
      <c r="AI102" s="8"/>
      <c r="AJ102" s="9"/>
      <c r="AK102" s="54" t="str">
        <f t="shared" si="6"/>
        <v/>
      </c>
      <c r="AL102" s="11"/>
      <c r="AM102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419.6</v>
      </c>
      <c r="AN102" s="119">
        <f>IF(DONNEES[[#This Row],[DATE
PAIEMT]]="",0,DONNEES[[#This Row],[DATE
PAIEMT]])</f>
        <v>44899</v>
      </c>
    </row>
    <row r="103" spans="1:40" x14ac:dyDescent="0.25">
      <c r="A103" s="97">
        <f>DONNEES[[#This Row],[AM]]</f>
        <v>44898</v>
      </c>
      <c r="B103" s="95">
        <f>WEEKDAY(DONNEES[[#This Row],[JOUR]],2)</f>
        <v>6</v>
      </c>
      <c r="C103" s="99">
        <f>_xlfn.ISOWEEKNUM(DONNEES[[#This Row],[AM]]-1)</f>
        <v>48</v>
      </c>
      <c r="D103" s="92">
        <v>44898</v>
      </c>
      <c r="E103" s="93">
        <f>DONNEES[[#This Row],[AM]]+1</f>
        <v>44899</v>
      </c>
      <c r="F103" s="14" t="s">
        <v>37</v>
      </c>
      <c r="G103" s="85">
        <v>12</v>
      </c>
      <c r="H103" s="13">
        <v>2</v>
      </c>
      <c r="I103" s="103" t="s">
        <v>41</v>
      </c>
      <c r="J103" s="14" t="s">
        <v>39</v>
      </c>
      <c r="K103" s="15">
        <v>132.30000000000001</v>
      </c>
      <c r="L103" s="16"/>
      <c r="M103" s="16"/>
      <c r="N103" s="17"/>
      <c r="O103" s="11">
        <v>133.19999999999999</v>
      </c>
      <c r="P103" s="8"/>
      <c r="Q103" s="8"/>
      <c r="R103" s="8"/>
      <c r="S103" s="8"/>
      <c r="T103" s="8"/>
      <c r="U103" s="8"/>
      <c r="V103" s="8"/>
      <c r="W103" s="9">
        <v>0.9</v>
      </c>
      <c r="X103" s="7"/>
      <c r="Y103" s="9"/>
      <c r="Z103" s="6">
        <f>IF(SUM(O103:W103)=0,IF(DONNEES[[#This Row],[ACPTE RECU]]-DONNEES[[#This Row],[ACPTE RENDU]]=0,"",DONNEES[[#This Row],[ACPTE RECU]]-DONNEES[[#This Row],[ACPTE RENDU]]),SUM(O103:W103)+DONNEES[[#This Row],[ACPTE RECU]]-DONNEES[[#This Row],[ACPTE RENDU]])</f>
        <v>134.1</v>
      </c>
      <c r="AA103" s="12">
        <f>IF(DONNEES[[#This Row],[DEP
REC]]="D",DONNEES[[#This Row],[DEPART]],"")</f>
        <v>44899</v>
      </c>
      <c r="AB103" s="53">
        <v>134.1</v>
      </c>
      <c r="AC103" s="8"/>
      <c r="AD103" s="8"/>
      <c r="AE103" s="8"/>
      <c r="AF103" s="8"/>
      <c r="AG103" s="8"/>
      <c r="AH103" s="8"/>
      <c r="AI103" s="8"/>
      <c r="AJ103" s="9"/>
      <c r="AK103" s="54">
        <f t="shared" si="6"/>
        <v>134.1</v>
      </c>
      <c r="AL103" s="11"/>
      <c r="AM10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3" s="119">
        <f>IF(DONNEES[[#This Row],[DATE
PAIEMT]]="",0,DONNEES[[#This Row],[DATE
PAIEMT]])</f>
        <v>44899</v>
      </c>
    </row>
    <row r="104" spans="1:40" x14ac:dyDescent="0.25">
      <c r="A104" s="97">
        <f>DONNEES[[#This Row],[AM]]</f>
        <v>44898</v>
      </c>
      <c r="B104" s="95">
        <f>WEEKDAY(DONNEES[[#This Row],[JOUR]],2)</f>
        <v>6</v>
      </c>
      <c r="C104" s="99">
        <f>_xlfn.ISOWEEKNUM(DONNEES[[#This Row],[AM]]-1)</f>
        <v>48</v>
      </c>
      <c r="D104" s="92">
        <v>44898</v>
      </c>
      <c r="E104" s="93">
        <f>DONNEES[[#This Row],[AM]]+1</f>
        <v>44899</v>
      </c>
      <c r="F104" s="14" t="s">
        <v>37</v>
      </c>
      <c r="G104" s="85">
        <v>20</v>
      </c>
      <c r="H104" s="13">
        <v>2</v>
      </c>
      <c r="I104" s="103" t="s">
        <v>124</v>
      </c>
      <c r="J104" s="14" t="s">
        <v>39</v>
      </c>
      <c r="K104" s="15">
        <v>147.6</v>
      </c>
      <c r="L104" s="16"/>
      <c r="M104" s="16"/>
      <c r="N104" s="17"/>
      <c r="O104" s="11">
        <v>908.10000000000014</v>
      </c>
      <c r="P104" s="8">
        <v>48</v>
      </c>
      <c r="Q104" s="8"/>
      <c r="R104" s="8"/>
      <c r="S104" s="8"/>
      <c r="T104" s="8"/>
      <c r="U104" s="8"/>
      <c r="V104" s="8"/>
      <c r="W104" s="9">
        <f>5*0.9</f>
        <v>4.5</v>
      </c>
      <c r="X104" s="7"/>
      <c r="Y104" s="9"/>
      <c r="Z104" s="6">
        <f>IF(SUM(O104:W104)=0,IF(DONNEES[[#This Row],[ACPTE RECU]]-DONNEES[[#This Row],[ACPTE RENDU]]=0,"",DONNEES[[#This Row],[ACPTE RECU]]-DONNEES[[#This Row],[ACPTE RENDU]]),SUM(O104:W104)+DONNEES[[#This Row],[ACPTE RECU]]-DONNEES[[#This Row],[ACPTE RENDU]])</f>
        <v>960.60000000000014</v>
      </c>
      <c r="AA104" s="12">
        <f>IF(DONNEES[[#This Row],[DEP
REC]]="D",DONNEES[[#This Row],[DEPART]],"")</f>
        <v>44899</v>
      </c>
      <c r="AB104" s="53">
        <v>960.6</v>
      </c>
      <c r="AC104" s="8"/>
      <c r="AD104" s="8"/>
      <c r="AE104" s="8"/>
      <c r="AF104" s="8"/>
      <c r="AG104" s="8"/>
      <c r="AH104" s="8"/>
      <c r="AI104" s="8"/>
      <c r="AJ104" s="9"/>
      <c r="AK104" s="54">
        <f t="shared" si="6"/>
        <v>960.6</v>
      </c>
      <c r="AL104" s="11"/>
      <c r="AM10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4" s="119">
        <f>IF(DONNEES[[#This Row],[DATE
PAIEMT]]="",0,DONNEES[[#This Row],[DATE
PAIEMT]])</f>
        <v>44899</v>
      </c>
    </row>
    <row r="105" spans="1:40" x14ac:dyDescent="0.25">
      <c r="A105" s="97">
        <f>DONNEES[[#This Row],[AM]]</f>
        <v>44898</v>
      </c>
      <c r="B105" s="95">
        <f>WEEKDAY(DONNEES[[#This Row],[JOUR]],2)</f>
        <v>6</v>
      </c>
      <c r="C105" s="99">
        <f>_xlfn.ISOWEEKNUM(DONNEES[[#This Row],[AM]]-1)</f>
        <v>48</v>
      </c>
      <c r="D105" s="92">
        <v>44898</v>
      </c>
      <c r="E105" s="93">
        <f>DONNEES[[#This Row],[AM]]+1</f>
        <v>44899</v>
      </c>
      <c r="F105" s="14" t="s">
        <v>37</v>
      </c>
      <c r="G105" s="85">
        <v>21</v>
      </c>
      <c r="H105" s="13">
        <v>2</v>
      </c>
      <c r="I105" s="103" t="s">
        <v>143</v>
      </c>
      <c r="J105" s="14" t="s">
        <v>21</v>
      </c>
      <c r="K105" s="15">
        <v>190</v>
      </c>
      <c r="L105" s="16"/>
      <c r="M105" s="16"/>
      <c r="N105" s="17"/>
      <c r="O105" s="11">
        <v>190.9</v>
      </c>
      <c r="P105" s="8"/>
      <c r="Q105" s="8"/>
      <c r="R105" s="8"/>
      <c r="S105" s="8"/>
      <c r="T105" s="8"/>
      <c r="U105" s="8"/>
      <c r="V105" s="8"/>
      <c r="W105" s="9">
        <v>0.9</v>
      </c>
      <c r="X105" s="7"/>
      <c r="Y105" s="9"/>
      <c r="Z105" s="6">
        <f>IF(SUM(O105:W105)=0,IF(DONNEES[[#This Row],[ACPTE RECU]]-DONNEES[[#This Row],[ACPTE RENDU]]=0,"",DONNEES[[#This Row],[ACPTE RECU]]-DONNEES[[#This Row],[ACPTE RENDU]]),SUM(O105:W105)+DONNEES[[#This Row],[ACPTE RECU]]-DONNEES[[#This Row],[ACPTE RENDU]])</f>
        <v>191.8</v>
      </c>
      <c r="AA105" s="12">
        <f>IF(DONNEES[[#This Row],[DEP
REC]]="D",DONNEES[[#This Row],[DEPART]],"")</f>
        <v>44899</v>
      </c>
      <c r="AB105" s="53"/>
      <c r="AC105" s="8"/>
      <c r="AD105" s="8"/>
      <c r="AE105" s="8"/>
      <c r="AF105" s="8"/>
      <c r="AG105" s="8">
        <v>190</v>
      </c>
      <c r="AH105" s="8">
        <v>1.8</v>
      </c>
      <c r="AI105" s="8"/>
      <c r="AJ105" s="9"/>
      <c r="AK105" s="54">
        <f t="shared" si="6"/>
        <v>191.8</v>
      </c>
      <c r="AL105" s="11"/>
      <c r="AM10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5" s="119">
        <f>IF(DONNEES[[#This Row],[DATE
PAIEMT]]="",0,DONNEES[[#This Row],[DATE
PAIEMT]])</f>
        <v>44899</v>
      </c>
    </row>
    <row r="106" spans="1:40" x14ac:dyDescent="0.25">
      <c r="A106" s="97">
        <f>DONNEES[[#This Row],[AM]]</f>
        <v>44898</v>
      </c>
      <c r="B106" s="95">
        <f>WEEKDAY(DONNEES[[#This Row],[JOUR]],2)</f>
        <v>6</v>
      </c>
      <c r="C106" s="99">
        <f>_xlfn.ISOWEEKNUM(DONNEES[[#This Row],[AM]]-1)</f>
        <v>48</v>
      </c>
      <c r="D106" s="92">
        <v>44898</v>
      </c>
      <c r="E106" s="93">
        <f>DONNEES[[#This Row],[AM]]+1</f>
        <v>44899</v>
      </c>
      <c r="F106" s="14" t="s">
        <v>37</v>
      </c>
      <c r="G106" s="85">
        <v>22</v>
      </c>
      <c r="H106" s="13">
        <v>2</v>
      </c>
      <c r="I106" s="103" t="s">
        <v>90</v>
      </c>
      <c r="J106" s="14" t="s">
        <v>21</v>
      </c>
      <c r="K106" s="15">
        <v>180</v>
      </c>
      <c r="L106" s="16">
        <v>2</v>
      </c>
      <c r="M106" s="16"/>
      <c r="N106" s="17"/>
      <c r="O106" s="11">
        <v>180.9</v>
      </c>
      <c r="P106" s="8">
        <v>24</v>
      </c>
      <c r="Q106" s="8"/>
      <c r="R106" s="8"/>
      <c r="S106" s="8"/>
      <c r="T106" s="8"/>
      <c r="U106" s="8"/>
      <c r="V106" s="8"/>
      <c r="W106" s="9">
        <v>0.9</v>
      </c>
      <c r="X106" s="7"/>
      <c r="Y106" s="9"/>
      <c r="Z106" s="6">
        <f>IF(SUM(O106:W106)=0,IF(DONNEES[[#This Row],[ACPTE RECU]]-DONNEES[[#This Row],[ACPTE RENDU]]=0,"",DONNEES[[#This Row],[ACPTE RECU]]-DONNEES[[#This Row],[ACPTE RENDU]]),SUM(O106:W106)+DONNEES[[#This Row],[ACPTE RECU]]-DONNEES[[#This Row],[ACPTE RENDU]])</f>
        <v>205.8</v>
      </c>
      <c r="AA106" s="12">
        <f>IF(DONNEES[[#This Row],[DEP
REC]]="D",DONNEES[[#This Row],[DEPART]],"")</f>
        <v>44899</v>
      </c>
      <c r="AB106" s="53">
        <v>205.8</v>
      </c>
      <c r="AC106" s="8"/>
      <c r="AD106" s="8"/>
      <c r="AE106" s="8"/>
      <c r="AF106" s="8"/>
      <c r="AG106" s="8"/>
      <c r="AH106" s="8"/>
      <c r="AI106" s="8"/>
      <c r="AJ106" s="9"/>
      <c r="AK106" s="54">
        <f t="shared" si="6"/>
        <v>205.8</v>
      </c>
      <c r="AL106" s="11"/>
      <c r="AM10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6" s="119">
        <f>IF(DONNEES[[#This Row],[DATE
PAIEMT]]="",0,DONNEES[[#This Row],[DATE
PAIEMT]])</f>
        <v>44899</v>
      </c>
    </row>
    <row r="107" spans="1:40" x14ac:dyDescent="0.25">
      <c r="A107" s="97">
        <f>DONNEES[[#This Row],[AM]]</f>
        <v>44898</v>
      </c>
      <c r="B107" s="95">
        <f>WEEKDAY(DONNEES[[#This Row],[JOUR]],2)</f>
        <v>6</v>
      </c>
      <c r="C107" s="99">
        <f>_xlfn.ISOWEEKNUM(DONNEES[[#This Row],[AM]]-1)</f>
        <v>48</v>
      </c>
      <c r="D107" s="92">
        <v>44898</v>
      </c>
      <c r="E107" s="93">
        <f>DONNEES[[#This Row],[AM]]+1</f>
        <v>44899</v>
      </c>
      <c r="F107" s="14" t="s">
        <v>38</v>
      </c>
      <c r="G107" s="85">
        <v>25</v>
      </c>
      <c r="H107" s="13">
        <v>2</v>
      </c>
      <c r="I107" s="103" t="s">
        <v>144</v>
      </c>
      <c r="J107" s="14" t="s">
        <v>39</v>
      </c>
      <c r="K107" s="15">
        <v>203.4</v>
      </c>
      <c r="L107" s="16">
        <v>2</v>
      </c>
      <c r="M107" s="16"/>
      <c r="N107" s="17"/>
      <c r="O107" s="11"/>
      <c r="P107" s="8"/>
      <c r="Q107" s="8"/>
      <c r="R107" s="8"/>
      <c r="S107" s="8"/>
      <c r="T107" s="8"/>
      <c r="U107" s="8"/>
      <c r="V107" s="8"/>
      <c r="W107" s="9"/>
      <c r="X107" s="7"/>
      <c r="Y107" s="9"/>
      <c r="Z107" s="6" t="str">
        <f>IF(SUM(O107:W107)=0,IF(DONNEES[[#This Row],[ACPTE RECU]]-DONNEES[[#This Row],[ACPTE RENDU]]=0,"",DONNEES[[#This Row],[ACPTE RECU]]-DONNEES[[#This Row],[ACPTE RENDU]]),SUM(O107:W107)+DONNEES[[#This Row],[ACPTE RECU]]-DONNEES[[#This Row],[ACPTE RENDU]])</f>
        <v/>
      </c>
      <c r="AA107" s="12" t="str">
        <f>IF(DONNEES[[#This Row],[DEP
REC]]="D",DONNEES[[#This Row],[DEPART]],"")</f>
        <v/>
      </c>
      <c r="AB107" s="53"/>
      <c r="AC107" s="8"/>
      <c r="AD107" s="8"/>
      <c r="AE107" s="8"/>
      <c r="AF107" s="8"/>
      <c r="AG107" s="8"/>
      <c r="AH107" s="8"/>
      <c r="AI107" s="8"/>
      <c r="AJ107" s="9"/>
      <c r="AK107" s="54" t="str">
        <f t="shared" si="6"/>
        <v/>
      </c>
      <c r="AL107" s="11"/>
      <c r="AM10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7" s="119">
        <f>IF(DONNEES[[#This Row],[DATE
PAIEMT]]="",0,DONNEES[[#This Row],[DATE
PAIEMT]])</f>
        <v>0</v>
      </c>
    </row>
    <row r="108" spans="1:40" x14ac:dyDescent="0.25">
      <c r="A108" s="97">
        <f>DONNEES[[#This Row],[AM]]</f>
        <v>44898</v>
      </c>
      <c r="B108" s="95">
        <f>WEEKDAY(DONNEES[[#This Row],[JOUR]],2)</f>
        <v>6</v>
      </c>
      <c r="C108" s="99">
        <f>_xlfn.ISOWEEKNUM(DONNEES[[#This Row],[AM]]-1)</f>
        <v>48</v>
      </c>
      <c r="D108" s="92">
        <v>44898</v>
      </c>
      <c r="E108" s="93">
        <f>DONNEES[[#This Row],[AM]]+1</f>
        <v>44899</v>
      </c>
      <c r="F108" s="14" t="s">
        <v>37</v>
      </c>
      <c r="G108" s="85">
        <v>6</v>
      </c>
      <c r="H108" s="13">
        <v>3</v>
      </c>
      <c r="I108" s="103" t="s">
        <v>134</v>
      </c>
      <c r="J108" s="14" t="s">
        <v>21</v>
      </c>
      <c r="K108" s="15">
        <v>205</v>
      </c>
      <c r="L108" s="16">
        <v>3</v>
      </c>
      <c r="M108" s="16"/>
      <c r="N108" s="17"/>
      <c r="O108" s="11">
        <v>588.6</v>
      </c>
      <c r="P108" s="8">
        <v>72</v>
      </c>
      <c r="Q108" s="8">
        <v>9</v>
      </c>
      <c r="R108" s="8"/>
      <c r="S108" s="8"/>
      <c r="T108" s="8"/>
      <c r="U108" s="8"/>
      <c r="V108" s="8"/>
      <c r="W108" s="9">
        <v>2.7</v>
      </c>
      <c r="X108" s="7"/>
      <c r="Y108" s="9"/>
      <c r="Z108" s="6">
        <f>IF(SUM(O108:W108)=0,IF(DONNEES[[#This Row],[ACPTE RECU]]-DONNEES[[#This Row],[ACPTE RENDU]]=0,"",DONNEES[[#This Row],[ACPTE RECU]]-DONNEES[[#This Row],[ACPTE RENDU]]),SUM(O108:W108)+DONNEES[[#This Row],[ACPTE RECU]]-DONNEES[[#This Row],[ACPTE RENDU]])</f>
        <v>672.30000000000007</v>
      </c>
      <c r="AA108" s="12">
        <f>IF(DONNEES[[#This Row],[DEP
REC]]="D",DONNEES[[#This Row],[DEPART]],"")</f>
        <v>44899</v>
      </c>
      <c r="AB108" s="53"/>
      <c r="AC108" s="8"/>
      <c r="AD108" s="8"/>
      <c r="AE108" s="8"/>
      <c r="AF108" s="8"/>
      <c r="AG108" s="8"/>
      <c r="AH108" s="8"/>
      <c r="AI108" s="8"/>
      <c r="AJ108" s="9"/>
      <c r="AK108" s="54" t="str">
        <f t="shared" si="6"/>
        <v/>
      </c>
      <c r="AL108" s="11"/>
      <c r="AM108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672.30000000000007</v>
      </c>
      <c r="AN108" s="119">
        <f>IF(DONNEES[[#This Row],[DATE
PAIEMT]]="",0,DONNEES[[#This Row],[DATE
PAIEMT]])</f>
        <v>44899</v>
      </c>
    </row>
    <row r="109" spans="1:40" x14ac:dyDescent="0.25">
      <c r="A109" s="97">
        <f>DONNEES[[#This Row],[AM]]</f>
        <v>44898</v>
      </c>
      <c r="B109" s="95">
        <f>WEEKDAY(DONNEES[[#This Row],[JOUR]],2)</f>
        <v>6</v>
      </c>
      <c r="C109" s="99">
        <f>_xlfn.ISOWEEKNUM(DONNEES[[#This Row],[AM]]-1)</f>
        <v>48</v>
      </c>
      <c r="D109" s="92">
        <v>44898</v>
      </c>
      <c r="E109" s="93">
        <f>DONNEES[[#This Row],[AM]]+1</f>
        <v>44899</v>
      </c>
      <c r="F109" s="14" t="s">
        <v>37</v>
      </c>
      <c r="G109" s="85">
        <v>14</v>
      </c>
      <c r="H109" s="13">
        <v>2</v>
      </c>
      <c r="I109" s="103" t="s">
        <v>41</v>
      </c>
      <c r="J109" s="14" t="s">
        <v>21</v>
      </c>
      <c r="K109" s="15">
        <v>215</v>
      </c>
      <c r="L109" s="16">
        <v>2</v>
      </c>
      <c r="M109" s="16"/>
      <c r="N109" s="17"/>
      <c r="O109" s="11">
        <v>215.9</v>
      </c>
      <c r="P109" s="8">
        <v>24</v>
      </c>
      <c r="Q109" s="8"/>
      <c r="R109" s="8"/>
      <c r="S109" s="8"/>
      <c r="T109" s="8"/>
      <c r="U109" s="8"/>
      <c r="V109" s="8"/>
      <c r="W109" s="9">
        <v>0.9</v>
      </c>
      <c r="X109" s="7"/>
      <c r="Y109" s="9"/>
      <c r="Z109" s="6">
        <f>IF(SUM(O109:W109)=0,IF(DONNEES[[#This Row],[ACPTE RECU]]-DONNEES[[#This Row],[ACPTE RENDU]]=0,"",DONNEES[[#This Row],[ACPTE RECU]]-DONNEES[[#This Row],[ACPTE RENDU]]),SUM(O109:W109)+DONNEES[[#This Row],[ACPTE RECU]]-DONNEES[[#This Row],[ACPTE RENDU]])</f>
        <v>240.8</v>
      </c>
      <c r="AA109" s="12">
        <f>IF(DONNEES[[#This Row],[DEP
REC]]="D",DONNEES[[#This Row],[DEPART]],"")</f>
        <v>44899</v>
      </c>
      <c r="AB109" s="53">
        <v>240.8</v>
      </c>
      <c r="AC109" s="8"/>
      <c r="AD109" s="8"/>
      <c r="AE109" s="8"/>
      <c r="AF109" s="8"/>
      <c r="AG109" s="8"/>
      <c r="AH109" s="8"/>
      <c r="AI109" s="8"/>
      <c r="AJ109" s="9"/>
      <c r="AK109" s="54">
        <f t="shared" si="6"/>
        <v>240.8</v>
      </c>
      <c r="AL109" s="11"/>
      <c r="AM10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09" s="119">
        <f>IF(DONNEES[[#This Row],[DATE
PAIEMT]]="",0,DONNEES[[#This Row],[DATE
PAIEMT]])</f>
        <v>44899</v>
      </c>
    </row>
    <row r="110" spans="1:40" x14ac:dyDescent="0.25">
      <c r="A110" s="97">
        <f>DONNEES[[#This Row],[AM]]</f>
        <v>44898</v>
      </c>
      <c r="B110" s="95">
        <f>WEEKDAY(DONNEES[[#This Row],[JOUR]],2)</f>
        <v>6</v>
      </c>
      <c r="C110" s="99">
        <f>_xlfn.ISOWEEKNUM(DONNEES[[#This Row],[AM]]-1)</f>
        <v>48</v>
      </c>
      <c r="D110" s="92">
        <v>44898</v>
      </c>
      <c r="E110" s="93">
        <f>DONNEES[[#This Row],[AM]]+1</f>
        <v>44899</v>
      </c>
      <c r="F110" s="14" t="s">
        <v>38</v>
      </c>
      <c r="G110" s="85">
        <v>15</v>
      </c>
      <c r="H110" s="13">
        <v>3</v>
      </c>
      <c r="I110" s="103" t="s">
        <v>145</v>
      </c>
      <c r="J110" s="14" t="s">
        <v>39</v>
      </c>
      <c r="K110" s="15">
        <v>237.6</v>
      </c>
      <c r="L110" s="16"/>
      <c r="M110" s="16">
        <v>1</v>
      </c>
      <c r="N110" s="17"/>
      <c r="O110" s="11"/>
      <c r="P110" s="8"/>
      <c r="Q110" s="8"/>
      <c r="R110" s="8"/>
      <c r="S110" s="8"/>
      <c r="T110" s="8"/>
      <c r="U110" s="8"/>
      <c r="V110" s="8"/>
      <c r="W110" s="9"/>
      <c r="X110" s="7"/>
      <c r="Y110" s="9"/>
      <c r="Z110" s="6" t="str">
        <f>IF(SUM(O110:W110)=0,IF(DONNEES[[#This Row],[ACPTE RECU]]-DONNEES[[#This Row],[ACPTE RENDU]]=0,"",DONNEES[[#This Row],[ACPTE RECU]]-DONNEES[[#This Row],[ACPTE RENDU]]),SUM(O110:W110)+DONNEES[[#This Row],[ACPTE RECU]]-DONNEES[[#This Row],[ACPTE RENDU]])</f>
        <v/>
      </c>
      <c r="AA110" s="12" t="str">
        <f>IF(DONNEES[[#This Row],[DEP
REC]]="D",DONNEES[[#This Row],[DEPART]],"")</f>
        <v/>
      </c>
      <c r="AB110" s="53"/>
      <c r="AC110" s="8"/>
      <c r="AD110" s="8"/>
      <c r="AE110" s="8"/>
      <c r="AF110" s="8"/>
      <c r="AG110" s="8"/>
      <c r="AH110" s="8"/>
      <c r="AI110" s="8"/>
      <c r="AJ110" s="9"/>
      <c r="AK110" s="54" t="str">
        <f t="shared" si="6"/>
        <v/>
      </c>
      <c r="AL110" s="11"/>
      <c r="AM11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0" s="119">
        <f>IF(DONNEES[[#This Row],[DATE
PAIEMT]]="",0,DONNEES[[#This Row],[DATE
PAIEMT]])</f>
        <v>0</v>
      </c>
    </row>
    <row r="111" spans="1:40" x14ac:dyDescent="0.25">
      <c r="A111" s="97">
        <f>DONNEES[[#This Row],[AM]]</f>
        <v>44898</v>
      </c>
      <c r="B111" s="95">
        <f>WEEKDAY(DONNEES[[#This Row],[JOUR]],2)</f>
        <v>6</v>
      </c>
      <c r="C111" s="99">
        <f>_xlfn.ISOWEEKNUM(DONNEES[[#This Row],[AM]]-1)</f>
        <v>48</v>
      </c>
      <c r="D111" s="92">
        <v>44898</v>
      </c>
      <c r="E111" s="93">
        <f>DONNEES[[#This Row],[AM]]+1</f>
        <v>44899</v>
      </c>
      <c r="F111" s="14" t="s">
        <v>37</v>
      </c>
      <c r="G111" s="85">
        <v>16</v>
      </c>
      <c r="H111" s="13">
        <v>2</v>
      </c>
      <c r="I111" s="103" t="s">
        <v>134</v>
      </c>
      <c r="J111" s="14" t="s">
        <v>21</v>
      </c>
      <c r="K111" s="15">
        <v>180</v>
      </c>
      <c r="L111" s="16">
        <v>2</v>
      </c>
      <c r="M111" s="16"/>
      <c r="N111" s="17"/>
      <c r="O111" s="11">
        <f>2*180.9</f>
        <v>361.8</v>
      </c>
      <c r="P111" s="8">
        <v>36</v>
      </c>
      <c r="Q111" s="8"/>
      <c r="R111" s="8"/>
      <c r="S111" s="8"/>
      <c r="T111" s="8">
        <v>15</v>
      </c>
      <c r="U111" s="8"/>
      <c r="V111" s="8"/>
      <c r="W111" s="9">
        <v>1.8</v>
      </c>
      <c r="X111" s="7"/>
      <c r="Y111" s="9"/>
      <c r="Z111" s="6">
        <f>IF(SUM(O111:W111)=0,IF(DONNEES[[#This Row],[ACPTE RECU]]-DONNEES[[#This Row],[ACPTE RENDU]]=0,"",DONNEES[[#This Row],[ACPTE RECU]]-DONNEES[[#This Row],[ACPTE RENDU]]),SUM(O111:W111)+DONNEES[[#This Row],[ACPTE RECU]]-DONNEES[[#This Row],[ACPTE RENDU]])</f>
        <v>414.6</v>
      </c>
      <c r="AA111" s="12">
        <f>IF(DONNEES[[#This Row],[DEP
REC]]="D",DONNEES[[#This Row],[DEPART]],"")</f>
        <v>44899</v>
      </c>
      <c r="AB111" s="53">
        <v>1506.5</v>
      </c>
      <c r="AC111" s="8"/>
      <c r="AD111" s="8"/>
      <c r="AE111" s="8"/>
      <c r="AF111" s="8"/>
      <c r="AG111" s="8"/>
      <c r="AH111" s="8"/>
      <c r="AI111" s="8"/>
      <c r="AJ111" s="9"/>
      <c r="AK111" s="54">
        <f t="shared" si="6"/>
        <v>1506.5</v>
      </c>
      <c r="AL111" s="11"/>
      <c r="AM111" s="86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>-1091.9000000000001</v>
      </c>
      <c r="AN111" s="119">
        <f>IF(DONNEES[[#This Row],[DATE
PAIEMT]]="",0,DONNEES[[#This Row],[DATE
PAIEMT]])</f>
        <v>44899</v>
      </c>
    </row>
    <row r="112" spans="1:40" x14ac:dyDescent="0.25">
      <c r="A112" s="97">
        <f>DONNEES[[#This Row],[AM]]</f>
        <v>44898</v>
      </c>
      <c r="B112" s="95">
        <f>WEEKDAY(DONNEES[[#This Row],[JOUR]],2)</f>
        <v>6</v>
      </c>
      <c r="C112" s="99">
        <f>_xlfn.ISOWEEKNUM(DONNEES[[#This Row],[AM]]-1)</f>
        <v>48</v>
      </c>
      <c r="D112" s="92">
        <v>44898</v>
      </c>
      <c r="E112" s="93">
        <f>DONNEES[[#This Row],[AM]]+1</f>
        <v>44899</v>
      </c>
      <c r="F112" s="14" t="s">
        <v>37</v>
      </c>
      <c r="G112" s="85">
        <v>24</v>
      </c>
      <c r="H112" s="13">
        <v>3</v>
      </c>
      <c r="I112" s="103" t="s">
        <v>146</v>
      </c>
      <c r="J112" s="14" t="s">
        <v>39</v>
      </c>
      <c r="K112" s="15">
        <v>248.4</v>
      </c>
      <c r="L112" s="16"/>
      <c r="M112" s="16"/>
      <c r="N112" s="17"/>
      <c r="O112" s="11">
        <f>248.4+1.8</f>
        <v>250.20000000000002</v>
      </c>
      <c r="P112" s="8"/>
      <c r="Q112" s="8"/>
      <c r="R112" s="8"/>
      <c r="S112" s="8"/>
      <c r="T112" s="8"/>
      <c r="U112" s="8"/>
      <c r="V112" s="8"/>
      <c r="W112" s="9">
        <v>0.9</v>
      </c>
      <c r="X112" s="7"/>
      <c r="Y112" s="9"/>
      <c r="Z112" s="6">
        <f>IF(SUM(O112:W112)=0,IF(DONNEES[[#This Row],[ACPTE RECU]]-DONNEES[[#This Row],[ACPTE RENDU]]=0,"",DONNEES[[#This Row],[ACPTE RECU]]-DONNEES[[#This Row],[ACPTE RENDU]]),SUM(O112:W112)+DONNEES[[#This Row],[ACPTE RECU]]-DONNEES[[#This Row],[ACPTE RENDU]])</f>
        <v>251.10000000000002</v>
      </c>
      <c r="AA112" s="12">
        <f>IF(DONNEES[[#This Row],[DEP
REC]]="D",DONNEES[[#This Row],[DEPART]],"")</f>
        <v>44899</v>
      </c>
      <c r="AB112" s="53">
        <v>251.1</v>
      </c>
      <c r="AC112" s="8"/>
      <c r="AD112" s="8"/>
      <c r="AE112" s="8"/>
      <c r="AF112" s="8"/>
      <c r="AG112" s="8"/>
      <c r="AH112" s="8"/>
      <c r="AI112" s="8"/>
      <c r="AJ112" s="9"/>
      <c r="AK112" s="54">
        <f t="shared" si="6"/>
        <v>251.1</v>
      </c>
      <c r="AL112" s="11"/>
      <c r="AM11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2" s="119">
        <f>IF(DONNEES[[#This Row],[DATE
PAIEMT]]="",0,DONNEES[[#This Row],[DATE
PAIEMT]])</f>
        <v>44899</v>
      </c>
    </row>
    <row r="113" spans="1:40" x14ac:dyDescent="0.25">
      <c r="A113" s="97">
        <f>DONNEES[[#This Row],[AM]]</f>
        <v>44915</v>
      </c>
      <c r="B113" s="95">
        <f>WEEKDAY(DONNEES[[#This Row],[JOUR]],2)</f>
        <v>2</v>
      </c>
      <c r="C113" s="99">
        <f>_xlfn.ISOWEEKNUM(DONNEES[[#This Row],[AM]]-1)</f>
        <v>51</v>
      </c>
      <c r="D113" s="92">
        <v>44915</v>
      </c>
      <c r="E113" s="93">
        <f>DONNEES[[#This Row],[AM]]+1</f>
        <v>44916</v>
      </c>
      <c r="F113" s="14" t="s">
        <v>37</v>
      </c>
      <c r="G113" s="85">
        <v>27</v>
      </c>
      <c r="H113" s="13">
        <v>2</v>
      </c>
      <c r="I113" s="103" t="s">
        <v>90</v>
      </c>
      <c r="J113" s="14" t="s">
        <v>21</v>
      </c>
      <c r="K113" s="15">
        <v>95</v>
      </c>
      <c r="L113" s="16"/>
      <c r="M113" s="16"/>
      <c r="N113" s="17"/>
      <c r="O113" s="11">
        <f>2*95.9</f>
        <v>191.8</v>
      </c>
      <c r="P113" s="8"/>
      <c r="Q113" s="8"/>
      <c r="R113" s="8"/>
      <c r="S113" s="8"/>
      <c r="T113" s="8"/>
      <c r="U113" s="8"/>
      <c r="V113" s="8"/>
      <c r="W113" s="9">
        <v>1.8</v>
      </c>
      <c r="X113" s="7"/>
      <c r="Y113" s="9"/>
      <c r="Z113" s="6">
        <f>IF(SUM(O113:W113)=0,IF(DONNEES[[#This Row],[ACPTE RECU]]-DONNEES[[#This Row],[ACPTE RENDU]]=0,"",DONNEES[[#This Row],[ACPTE RECU]]-DONNEES[[#This Row],[ACPTE RENDU]]),SUM(O113:W113)+DONNEES[[#This Row],[ACPTE RECU]]-DONNEES[[#This Row],[ACPTE RENDU]])</f>
        <v>193.60000000000002</v>
      </c>
      <c r="AA113" s="12">
        <f>IF(DONNEES[[#This Row],[DEP
REC]]="D",DONNEES[[#This Row],[DEPART]],"")</f>
        <v>44916</v>
      </c>
      <c r="AB113" s="53"/>
      <c r="AC113" s="8"/>
      <c r="AD113" s="8">
        <v>193.6</v>
      </c>
      <c r="AE113" s="8"/>
      <c r="AF113" s="8"/>
      <c r="AG113" s="8"/>
      <c r="AH113" s="8"/>
      <c r="AI113" s="8"/>
      <c r="AJ113" s="9"/>
      <c r="AK113" s="54">
        <f t="shared" ref="AK113:AK122" si="7">IF(SUM(AB113:AJ113)=0,"",SUM(AB113:AJ113))</f>
        <v>193.6</v>
      </c>
      <c r="AL113" s="11"/>
      <c r="AM11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3" s="119">
        <f>IF(DONNEES[[#This Row],[DATE
PAIEMT]]="",0,DONNEES[[#This Row],[DATE
PAIEMT]])</f>
        <v>44916</v>
      </c>
    </row>
    <row r="114" spans="1:40" x14ac:dyDescent="0.25">
      <c r="A114" s="97">
        <f>DONNEES[[#This Row],[AM]]</f>
        <v>44915</v>
      </c>
      <c r="B114" s="95">
        <f>WEEKDAY(DONNEES[[#This Row],[JOUR]],2)</f>
        <v>2</v>
      </c>
      <c r="C114" s="99">
        <f>_xlfn.ISOWEEKNUM(DONNEES[[#This Row],[AM]]-1)</f>
        <v>51</v>
      </c>
      <c r="D114" s="92">
        <v>44915</v>
      </c>
      <c r="E114" s="93">
        <f>DONNEES[[#This Row],[AM]]+1</f>
        <v>44916</v>
      </c>
      <c r="F114" s="14" t="s">
        <v>37</v>
      </c>
      <c r="G114" s="85">
        <v>20</v>
      </c>
      <c r="H114" s="13">
        <v>2</v>
      </c>
      <c r="I114" s="103" t="s">
        <v>150</v>
      </c>
      <c r="J114" s="14" t="s">
        <v>21</v>
      </c>
      <c r="K114" s="15">
        <v>115</v>
      </c>
      <c r="L114" s="16">
        <v>2</v>
      </c>
      <c r="M114" s="16">
        <v>1</v>
      </c>
      <c r="N114" s="17">
        <v>3</v>
      </c>
      <c r="O114" s="11">
        <v>115.9</v>
      </c>
      <c r="P114" s="8">
        <v>24</v>
      </c>
      <c r="Q114" s="8"/>
      <c r="R114" s="8"/>
      <c r="S114" s="8"/>
      <c r="T114" s="8">
        <v>15</v>
      </c>
      <c r="U114" s="8"/>
      <c r="V114" s="8"/>
      <c r="W114" s="9">
        <v>0.9</v>
      </c>
      <c r="X114" s="7"/>
      <c r="Y114" s="9"/>
      <c r="Z114" s="6">
        <f>IF(SUM(O114:W114)=0,IF(DONNEES[[#This Row],[ACPTE RECU]]-DONNEES[[#This Row],[ACPTE RENDU]]=0,"",DONNEES[[#This Row],[ACPTE RECU]]-DONNEES[[#This Row],[ACPTE RENDU]]),SUM(O114:W114)+DONNEES[[#This Row],[ACPTE RECU]]-DONNEES[[#This Row],[ACPTE RENDU]])</f>
        <v>155.80000000000001</v>
      </c>
      <c r="AA114" s="12">
        <v>44915</v>
      </c>
      <c r="AB114" s="53">
        <v>155.80000000000001</v>
      </c>
      <c r="AC114" s="8"/>
      <c r="AD114" s="8"/>
      <c r="AE114" s="8"/>
      <c r="AF114" s="8"/>
      <c r="AG114" s="8"/>
      <c r="AH114" s="8"/>
      <c r="AI114" s="8"/>
      <c r="AJ114" s="9"/>
      <c r="AK114" s="54">
        <f t="shared" si="7"/>
        <v>155.80000000000001</v>
      </c>
      <c r="AL114" s="11"/>
      <c r="AM11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4" s="119">
        <f>IF(DONNEES[[#This Row],[DATE
PAIEMT]]="",0,DONNEES[[#This Row],[DATE
PAIEMT]])</f>
        <v>44915</v>
      </c>
    </row>
    <row r="115" spans="1:40" x14ac:dyDescent="0.25">
      <c r="A115" s="97">
        <f>DONNEES[[#This Row],[AM]]</f>
        <v>44915</v>
      </c>
      <c r="B115" s="95">
        <f>WEEKDAY(DONNEES[[#This Row],[JOUR]],2)</f>
        <v>2</v>
      </c>
      <c r="C115" s="99">
        <f>_xlfn.ISOWEEKNUM(DONNEES[[#This Row],[AM]]-1)</f>
        <v>51</v>
      </c>
      <c r="D115" s="92">
        <v>44915</v>
      </c>
      <c r="E115" s="93">
        <f>DONNEES[[#This Row],[AM]]+1</f>
        <v>44916</v>
      </c>
      <c r="F115" s="14" t="s">
        <v>37</v>
      </c>
      <c r="G115" s="85">
        <v>21</v>
      </c>
      <c r="H115" s="13">
        <v>2</v>
      </c>
      <c r="I115" s="103" t="s">
        <v>149</v>
      </c>
      <c r="J115" s="14" t="s">
        <v>21</v>
      </c>
      <c r="K115" s="15">
        <v>115</v>
      </c>
      <c r="L115" s="16"/>
      <c r="M115" s="16">
        <v>1</v>
      </c>
      <c r="N115" s="17"/>
      <c r="O115" s="11">
        <f>2*115.9</f>
        <v>231.8</v>
      </c>
      <c r="P115" s="8"/>
      <c r="Q115" s="8"/>
      <c r="R115" s="8"/>
      <c r="S115" s="8"/>
      <c r="T115" s="8">
        <v>30</v>
      </c>
      <c r="U115" s="8"/>
      <c r="V115" s="8"/>
      <c r="W115" s="9">
        <v>1.8</v>
      </c>
      <c r="X115" s="7"/>
      <c r="Y115" s="9"/>
      <c r="Z115" s="6">
        <f>IF(SUM(O115:W115)=0,IF(DONNEES[[#This Row],[ACPTE RECU]]-DONNEES[[#This Row],[ACPTE RENDU]]=0,"",DONNEES[[#This Row],[ACPTE RECU]]-DONNEES[[#This Row],[ACPTE RENDU]]),SUM(O115:W115)+DONNEES[[#This Row],[ACPTE RECU]]-DONNEES[[#This Row],[ACPTE RENDU]])</f>
        <v>263.60000000000002</v>
      </c>
      <c r="AA115" s="12">
        <f>IF(DONNEES[[#This Row],[DEP
REC]]="D",DONNEES[[#This Row],[DEPART]],"")</f>
        <v>44916</v>
      </c>
      <c r="AB115" s="53">
        <v>263.60000000000002</v>
      </c>
      <c r="AC115" s="8"/>
      <c r="AD115" s="8"/>
      <c r="AE115" s="8"/>
      <c r="AF115" s="8"/>
      <c r="AG115" s="8"/>
      <c r="AH115" s="8"/>
      <c r="AI115" s="8"/>
      <c r="AJ115" s="9"/>
      <c r="AK115" s="54">
        <f t="shared" si="7"/>
        <v>263.60000000000002</v>
      </c>
      <c r="AL115" s="11"/>
      <c r="AM11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5" s="119">
        <f>IF(DONNEES[[#This Row],[DATE
PAIEMT]]="",0,DONNEES[[#This Row],[DATE
PAIEMT]])</f>
        <v>44916</v>
      </c>
    </row>
    <row r="116" spans="1:40" x14ac:dyDescent="0.25">
      <c r="A116" s="97">
        <f>DONNEES[[#This Row],[AM]]</f>
        <v>44915</v>
      </c>
      <c r="B116" s="95">
        <f>WEEKDAY(DONNEES[[#This Row],[JOUR]],2)</f>
        <v>2</v>
      </c>
      <c r="C116" s="99">
        <f>_xlfn.ISOWEEKNUM(DONNEES[[#This Row],[AM]]-1)</f>
        <v>51</v>
      </c>
      <c r="D116" s="92">
        <v>44915</v>
      </c>
      <c r="E116" s="93">
        <f>DONNEES[[#This Row],[AM]]+1</f>
        <v>44916</v>
      </c>
      <c r="F116" s="14" t="s">
        <v>37</v>
      </c>
      <c r="G116" s="85">
        <v>22</v>
      </c>
      <c r="H116" s="13">
        <v>1</v>
      </c>
      <c r="I116" s="103" t="s">
        <v>148</v>
      </c>
      <c r="J116" s="14" t="s">
        <v>21</v>
      </c>
      <c r="K116" s="15">
        <v>125</v>
      </c>
      <c r="L116" s="16"/>
      <c r="M116" s="16"/>
      <c r="N116" s="17"/>
      <c r="O116" s="11">
        <f>160+3*125</f>
        <v>535</v>
      </c>
      <c r="P116" s="8">
        <v>48</v>
      </c>
      <c r="Q116" s="8"/>
      <c r="R116" s="8"/>
      <c r="S116" s="8"/>
      <c r="T116" s="8"/>
      <c r="U116" s="8"/>
      <c r="V116" s="8"/>
      <c r="W116" s="9">
        <v>3.6</v>
      </c>
      <c r="X116" s="7"/>
      <c r="Y116" s="9"/>
      <c r="Z116" s="6">
        <f>IF(SUM(O116:W116)=0,IF(DONNEES[[#This Row],[ACPTE RECU]]-DONNEES[[#This Row],[ACPTE RENDU]]=0,"",DONNEES[[#This Row],[ACPTE RECU]]-DONNEES[[#This Row],[ACPTE RENDU]]),SUM(O116:W116)+DONNEES[[#This Row],[ACPTE RECU]]-DONNEES[[#This Row],[ACPTE RENDU]])</f>
        <v>586.6</v>
      </c>
      <c r="AA116" s="12">
        <f>IF(DONNEES[[#This Row],[DEP
REC]]="D",DONNEES[[#This Row],[DEPART]],"")</f>
        <v>44916</v>
      </c>
      <c r="AB116" s="53"/>
      <c r="AC116" s="8"/>
      <c r="AD116" s="8">
        <v>586.6</v>
      </c>
      <c r="AE116" s="8"/>
      <c r="AF116" s="8"/>
      <c r="AG116" s="8"/>
      <c r="AH116" s="8"/>
      <c r="AI116" s="8"/>
      <c r="AJ116" s="9"/>
      <c r="AK116" s="54">
        <f t="shared" si="7"/>
        <v>586.6</v>
      </c>
      <c r="AL116" s="11"/>
      <c r="AM11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6" s="119">
        <f>IF(DONNEES[[#This Row],[DATE
PAIEMT]]="",0,DONNEES[[#This Row],[DATE
PAIEMT]])</f>
        <v>44916</v>
      </c>
    </row>
    <row r="117" spans="1:40" x14ac:dyDescent="0.25">
      <c r="A117" s="97">
        <f>DONNEES[[#This Row],[AM]]</f>
        <v>44915</v>
      </c>
      <c r="B117" s="95">
        <f>WEEKDAY(DONNEES[[#This Row],[JOUR]],2)</f>
        <v>2</v>
      </c>
      <c r="C117" s="99">
        <f>_xlfn.ISOWEEKNUM(DONNEES[[#This Row],[AM]]-1)</f>
        <v>51</v>
      </c>
      <c r="D117" s="92">
        <v>44915</v>
      </c>
      <c r="E117" s="93">
        <f>DONNEES[[#This Row],[AM]]+1</f>
        <v>44916</v>
      </c>
      <c r="F117" s="14" t="s">
        <v>38</v>
      </c>
      <c r="G117" s="85">
        <v>25</v>
      </c>
      <c r="H117" s="13">
        <v>1</v>
      </c>
      <c r="I117" s="103" t="s">
        <v>91</v>
      </c>
      <c r="J117" s="14" t="s">
        <v>21</v>
      </c>
      <c r="K117" s="15">
        <v>115</v>
      </c>
      <c r="L117" s="16">
        <v>1</v>
      </c>
      <c r="M117" s="16"/>
      <c r="N117" s="17"/>
      <c r="O117" s="11"/>
      <c r="P117" s="8"/>
      <c r="Q117" s="8"/>
      <c r="R117" s="8"/>
      <c r="S117" s="8"/>
      <c r="T117" s="8"/>
      <c r="U117" s="8"/>
      <c r="V117" s="8"/>
      <c r="W117" s="9"/>
      <c r="X117" s="7"/>
      <c r="Y117" s="9"/>
      <c r="Z117" s="6" t="str">
        <f>IF(SUM(O117:W117)=0,IF(DONNEES[[#This Row],[ACPTE RECU]]-DONNEES[[#This Row],[ACPTE RENDU]]=0,"",DONNEES[[#This Row],[ACPTE RECU]]-DONNEES[[#This Row],[ACPTE RENDU]]),SUM(O117:W117)+DONNEES[[#This Row],[ACPTE RECU]]-DONNEES[[#This Row],[ACPTE RENDU]])</f>
        <v/>
      </c>
      <c r="AA117" s="12" t="str">
        <f>IF(DONNEES[[#This Row],[DEP
REC]]="D",DONNEES[[#This Row],[DEPART]],"")</f>
        <v/>
      </c>
      <c r="AB117" s="53"/>
      <c r="AC117" s="8"/>
      <c r="AD117" s="8"/>
      <c r="AE117" s="8"/>
      <c r="AF117" s="8"/>
      <c r="AG117" s="8"/>
      <c r="AH117" s="8"/>
      <c r="AI117" s="8"/>
      <c r="AJ117" s="9"/>
      <c r="AK117" s="54" t="str">
        <f t="shared" si="7"/>
        <v/>
      </c>
      <c r="AL117" s="11"/>
      <c r="AM11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7" s="119">
        <f>IF(DONNEES[[#This Row],[DATE
PAIEMT]]="",0,DONNEES[[#This Row],[DATE
PAIEMT]])</f>
        <v>0</v>
      </c>
    </row>
    <row r="118" spans="1:40" x14ac:dyDescent="0.25">
      <c r="A118" s="97">
        <f>DONNEES[[#This Row],[AM]]</f>
        <v>44915</v>
      </c>
      <c r="B118" s="95">
        <f>WEEKDAY(DONNEES[[#This Row],[JOUR]],2)</f>
        <v>2</v>
      </c>
      <c r="C118" s="99">
        <f>_xlfn.ISOWEEKNUM(DONNEES[[#This Row],[AM]]-1)</f>
        <v>51</v>
      </c>
      <c r="D118" s="92">
        <v>44915</v>
      </c>
      <c r="E118" s="93">
        <f>DONNEES[[#This Row],[AM]]+1</f>
        <v>44916</v>
      </c>
      <c r="F118" s="14" t="s">
        <v>37</v>
      </c>
      <c r="G118" s="85">
        <v>6</v>
      </c>
      <c r="H118" s="13">
        <v>2</v>
      </c>
      <c r="I118" s="103" t="s">
        <v>151</v>
      </c>
      <c r="J118" s="14" t="s">
        <v>21</v>
      </c>
      <c r="K118" s="15">
        <v>115</v>
      </c>
      <c r="L118" s="16">
        <v>2</v>
      </c>
      <c r="M118" s="16"/>
      <c r="N118" s="17"/>
      <c r="O118" s="11">
        <v>115.9</v>
      </c>
      <c r="P118" s="8">
        <v>24</v>
      </c>
      <c r="Q118" s="8"/>
      <c r="R118" s="8"/>
      <c r="S118" s="8"/>
      <c r="T118" s="8"/>
      <c r="U118" s="8"/>
      <c r="V118" s="8"/>
      <c r="W118" s="9">
        <v>0.9</v>
      </c>
      <c r="X118" s="7"/>
      <c r="Y118" s="9"/>
      <c r="Z118" s="6">
        <f>IF(SUM(O118:W118)=0,IF(DONNEES[[#This Row],[ACPTE RECU]]-DONNEES[[#This Row],[ACPTE RENDU]]=0,"",DONNEES[[#This Row],[ACPTE RECU]]-DONNEES[[#This Row],[ACPTE RENDU]]),SUM(O118:W118)+DONNEES[[#This Row],[ACPTE RECU]]-DONNEES[[#This Row],[ACPTE RENDU]])</f>
        <v>140.80000000000001</v>
      </c>
      <c r="AA118" s="12">
        <v>44915</v>
      </c>
      <c r="AB118" s="53">
        <v>140.80000000000001</v>
      </c>
      <c r="AC118" s="8"/>
      <c r="AD118" s="8"/>
      <c r="AE118" s="8"/>
      <c r="AF118" s="8"/>
      <c r="AG118" s="8"/>
      <c r="AH118" s="8"/>
      <c r="AI118" s="8"/>
      <c r="AJ118" s="9"/>
      <c r="AK118" s="54">
        <f t="shared" si="7"/>
        <v>140.80000000000001</v>
      </c>
      <c r="AL118" s="11"/>
      <c r="AM11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8" s="119">
        <f>IF(DONNEES[[#This Row],[DATE
PAIEMT]]="",0,DONNEES[[#This Row],[DATE
PAIEMT]])</f>
        <v>44915</v>
      </c>
    </row>
    <row r="119" spans="1:40" x14ac:dyDescent="0.25">
      <c r="A119" s="97">
        <f>DONNEES[[#This Row],[AM]]</f>
        <v>44915</v>
      </c>
      <c r="B119" s="95">
        <f>WEEKDAY(DONNEES[[#This Row],[JOUR]],2)</f>
        <v>2</v>
      </c>
      <c r="C119" s="99">
        <f>_xlfn.ISOWEEKNUM(DONNEES[[#This Row],[AM]]-1)</f>
        <v>51</v>
      </c>
      <c r="D119" s="92">
        <v>44915</v>
      </c>
      <c r="E119" s="93">
        <f>DONNEES[[#This Row],[AM]]+1</f>
        <v>44916</v>
      </c>
      <c r="F119" s="14" t="s">
        <v>37</v>
      </c>
      <c r="G119" s="85">
        <v>14</v>
      </c>
      <c r="H119" s="13">
        <v>2</v>
      </c>
      <c r="I119" s="103" t="s">
        <v>152</v>
      </c>
      <c r="J119" s="14" t="s">
        <v>39</v>
      </c>
      <c r="K119" s="15">
        <v>96.3</v>
      </c>
      <c r="L119" s="16">
        <v>2</v>
      </c>
      <c r="M119" s="16"/>
      <c r="N119" s="17"/>
      <c r="O119" s="11">
        <v>97.2</v>
      </c>
      <c r="P119" s="8">
        <v>24</v>
      </c>
      <c r="Q119" s="8"/>
      <c r="R119" s="8"/>
      <c r="S119" s="8"/>
      <c r="T119" s="8"/>
      <c r="U119" s="8"/>
      <c r="V119" s="8"/>
      <c r="W119" s="9">
        <v>0.9</v>
      </c>
      <c r="X119" s="7"/>
      <c r="Y119" s="9"/>
      <c r="Z119" s="6">
        <f>IF(SUM(O119:W119)=0,IF(DONNEES[[#This Row],[ACPTE RECU]]-DONNEES[[#This Row],[ACPTE RENDU]]=0,"",DONNEES[[#This Row],[ACPTE RECU]]-DONNEES[[#This Row],[ACPTE RENDU]]),SUM(O119:W119)+DONNEES[[#This Row],[ACPTE RECU]]-DONNEES[[#This Row],[ACPTE RENDU]])</f>
        <v>122.10000000000001</v>
      </c>
      <c r="AA119" s="12">
        <f>IF(DONNEES[[#This Row],[DEP
REC]]="D",DONNEES[[#This Row],[DEPART]],"")</f>
        <v>44916</v>
      </c>
      <c r="AB119" s="53">
        <v>122.1</v>
      </c>
      <c r="AC119" s="8"/>
      <c r="AD119" s="8"/>
      <c r="AE119" s="8"/>
      <c r="AF119" s="8"/>
      <c r="AG119" s="8"/>
      <c r="AH119" s="8"/>
      <c r="AI119" s="8"/>
      <c r="AJ119" s="9"/>
      <c r="AK119" s="54">
        <f t="shared" si="7"/>
        <v>122.1</v>
      </c>
      <c r="AL119" s="11"/>
      <c r="AM11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19" s="119">
        <f>IF(DONNEES[[#This Row],[DATE
PAIEMT]]="",0,DONNEES[[#This Row],[DATE
PAIEMT]])</f>
        <v>44916</v>
      </c>
    </row>
    <row r="120" spans="1:40" x14ac:dyDescent="0.25">
      <c r="A120" s="97">
        <f>DONNEES[[#This Row],[AM]]</f>
        <v>44915</v>
      </c>
      <c r="B120" s="95">
        <f>WEEKDAY(DONNEES[[#This Row],[JOUR]],2)</f>
        <v>2</v>
      </c>
      <c r="C120" s="99">
        <f>_xlfn.ISOWEEKNUM(DONNEES[[#This Row],[AM]]-1)</f>
        <v>51</v>
      </c>
      <c r="D120" s="92">
        <v>44915</v>
      </c>
      <c r="E120" s="93">
        <f>DONNEES[[#This Row],[AM]]+1</f>
        <v>44916</v>
      </c>
      <c r="F120" s="14" t="s">
        <v>38</v>
      </c>
      <c r="G120" s="85">
        <v>15</v>
      </c>
      <c r="H120" s="13">
        <v>3</v>
      </c>
      <c r="I120" s="103" t="s">
        <v>153</v>
      </c>
      <c r="J120" s="14" t="s">
        <v>21</v>
      </c>
      <c r="K120" s="15">
        <v>205</v>
      </c>
      <c r="L120" s="16"/>
      <c r="M120" s="16"/>
      <c r="N120" s="17"/>
      <c r="O120" s="11"/>
      <c r="P120" s="8"/>
      <c r="Q120" s="8"/>
      <c r="R120" s="8"/>
      <c r="S120" s="8"/>
      <c r="T120" s="8"/>
      <c r="U120" s="8"/>
      <c r="V120" s="8"/>
      <c r="W120" s="9"/>
      <c r="X120" s="7"/>
      <c r="Y120" s="9"/>
      <c r="Z120" s="6" t="str">
        <f>IF(SUM(O120:W120)=0,IF(DONNEES[[#This Row],[ACPTE RECU]]-DONNEES[[#This Row],[ACPTE RENDU]]=0,"",DONNEES[[#This Row],[ACPTE RECU]]-DONNEES[[#This Row],[ACPTE RENDU]]),SUM(O120:W120)+DONNEES[[#This Row],[ACPTE RECU]]-DONNEES[[#This Row],[ACPTE RENDU]])</f>
        <v/>
      </c>
      <c r="AA120" s="12" t="str">
        <f>IF(DONNEES[[#This Row],[DEP
REC]]="D",DONNEES[[#This Row],[DEPART]],"")</f>
        <v/>
      </c>
      <c r="AB120" s="53"/>
      <c r="AC120" s="8"/>
      <c r="AD120" s="8"/>
      <c r="AE120" s="8"/>
      <c r="AF120" s="8"/>
      <c r="AG120" s="8"/>
      <c r="AH120" s="8"/>
      <c r="AI120" s="8"/>
      <c r="AJ120" s="9"/>
      <c r="AK120" s="54" t="str">
        <f t="shared" si="7"/>
        <v/>
      </c>
      <c r="AL120" s="11"/>
      <c r="AM12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0" s="119">
        <f>IF(DONNEES[[#This Row],[DATE
PAIEMT]]="",0,DONNEES[[#This Row],[DATE
PAIEMT]])</f>
        <v>0</v>
      </c>
    </row>
    <row r="121" spans="1:40" x14ac:dyDescent="0.25">
      <c r="A121" s="97">
        <f>DONNEES[[#This Row],[AM]]</f>
        <v>44915</v>
      </c>
      <c r="B121" s="95">
        <f>WEEKDAY(DONNEES[[#This Row],[JOUR]],2)</f>
        <v>2</v>
      </c>
      <c r="C121" s="99">
        <f>_xlfn.ISOWEEKNUM(DONNEES[[#This Row],[AM]]-1)</f>
        <v>51</v>
      </c>
      <c r="D121" s="92">
        <v>44915</v>
      </c>
      <c r="E121" s="93">
        <f>DONNEES[[#This Row],[AM]]+1</f>
        <v>44916</v>
      </c>
      <c r="F121" s="14" t="s">
        <v>37</v>
      </c>
      <c r="G121" s="85">
        <v>16</v>
      </c>
      <c r="H121" s="13">
        <v>2</v>
      </c>
      <c r="I121" s="103" t="s">
        <v>154</v>
      </c>
      <c r="J121" s="14" t="s">
        <v>39</v>
      </c>
      <c r="K121" s="15">
        <v>107</v>
      </c>
      <c r="L121" s="16"/>
      <c r="M121" s="16">
        <v>1</v>
      </c>
      <c r="N121" s="17"/>
      <c r="O121" s="11">
        <v>107.9</v>
      </c>
      <c r="P121" s="8"/>
      <c r="Q121" s="8"/>
      <c r="R121" s="8"/>
      <c r="S121" s="8"/>
      <c r="T121" s="8">
        <v>15</v>
      </c>
      <c r="U121" s="8"/>
      <c r="V121" s="8"/>
      <c r="W121" s="9">
        <v>0.9</v>
      </c>
      <c r="X121" s="7"/>
      <c r="Y121" s="9"/>
      <c r="Z121" s="6">
        <f>IF(SUM(O121:W121)=0,IF(DONNEES[[#This Row],[ACPTE RECU]]-DONNEES[[#This Row],[ACPTE RENDU]]=0,"",DONNEES[[#This Row],[ACPTE RECU]]-DONNEES[[#This Row],[ACPTE RENDU]]),SUM(O121:W121)+DONNEES[[#This Row],[ACPTE RECU]]-DONNEES[[#This Row],[ACPTE RENDU]])</f>
        <v>123.80000000000001</v>
      </c>
      <c r="AA121" s="12">
        <f>IF(DONNEES[[#This Row],[DEP
REC]]="D",DONNEES[[#This Row],[DEPART]],"")</f>
        <v>44916</v>
      </c>
      <c r="AB121" s="53">
        <v>123.8</v>
      </c>
      <c r="AC121" s="8"/>
      <c r="AD121" s="8"/>
      <c r="AE121" s="8"/>
      <c r="AF121" s="8"/>
      <c r="AG121" s="8"/>
      <c r="AH121" s="8"/>
      <c r="AI121" s="8"/>
      <c r="AJ121" s="9"/>
      <c r="AK121" s="54">
        <f t="shared" si="7"/>
        <v>123.8</v>
      </c>
      <c r="AL121" s="11"/>
      <c r="AM12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1" s="119">
        <f>IF(DONNEES[[#This Row],[DATE
PAIEMT]]="",0,DONNEES[[#This Row],[DATE
PAIEMT]])</f>
        <v>44916</v>
      </c>
    </row>
    <row r="122" spans="1:40" x14ac:dyDescent="0.25">
      <c r="A122" s="97">
        <f>DONNEES[[#This Row],[AM]]</f>
        <v>44915</v>
      </c>
      <c r="B122" s="95">
        <f>WEEKDAY(DONNEES[[#This Row],[JOUR]],2)</f>
        <v>2</v>
      </c>
      <c r="C122" s="99">
        <f>_xlfn.ISOWEEKNUM(DONNEES[[#This Row],[AM]]-1)</f>
        <v>51</v>
      </c>
      <c r="D122" s="92">
        <v>44915</v>
      </c>
      <c r="E122" s="93">
        <f>DONNEES[[#This Row],[AM]]+1</f>
        <v>44916</v>
      </c>
      <c r="F122" s="14" t="s">
        <v>37</v>
      </c>
      <c r="G122" s="85">
        <v>24</v>
      </c>
      <c r="H122" s="13">
        <v>2</v>
      </c>
      <c r="I122" s="103" t="s">
        <v>155</v>
      </c>
      <c r="J122" s="14" t="s">
        <v>21</v>
      </c>
      <c r="K122" s="15">
        <v>95</v>
      </c>
      <c r="L122" s="16">
        <v>2</v>
      </c>
      <c r="M122" s="16"/>
      <c r="N122" s="17"/>
      <c r="O122" s="11">
        <v>95.9</v>
      </c>
      <c r="P122" s="8">
        <v>24</v>
      </c>
      <c r="Q122" s="8"/>
      <c r="R122" s="8"/>
      <c r="S122" s="8"/>
      <c r="T122" s="8"/>
      <c r="U122" s="8"/>
      <c r="V122" s="8"/>
      <c r="W122" s="9">
        <v>0.9</v>
      </c>
      <c r="X122" s="7"/>
      <c r="Y122" s="9"/>
      <c r="Z122" s="6">
        <f>IF(SUM(O122:W122)=0,IF(DONNEES[[#This Row],[ACPTE RECU]]-DONNEES[[#This Row],[ACPTE RENDU]]=0,"",DONNEES[[#This Row],[ACPTE RECU]]-DONNEES[[#This Row],[ACPTE RENDU]]),SUM(O122:W122)+DONNEES[[#This Row],[ACPTE RECU]]-DONNEES[[#This Row],[ACPTE RENDU]])</f>
        <v>120.80000000000001</v>
      </c>
      <c r="AA122" s="12">
        <f>IF(DONNEES[[#This Row],[DEP
REC]]="D",DONNEES[[#This Row],[DEPART]],"")</f>
        <v>44916</v>
      </c>
      <c r="AB122" s="53">
        <v>120.8</v>
      </c>
      <c r="AC122" s="8"/>
      <c r="AD122" s="8"/>
      <c r="AE122" s="8"/>
      <c r="AF122" s="8"/>
      <c r="AG122" s="8"/>
      <c r="AH122" s="8"/>
      <c r="AI122" s="8"/>
      <c r="AJ122" s="9"/>
      <c r="AK122" s="54">
        <f t="shared" si="7"/>
        <v>120.8</v>
      </c>
      <c r="AL122" s="11"/>
      <c r="AM12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2" s="119">
        <f>IF(DONNEES[[#This Row],[DATE
PAIEMT]]="",0,DONNEES[[#This Row],[DATE
PAIEMT]])</f>
        <v>44916</v>
      </c>
    </row>
    <row r="123" spans="1:40" x14ac:dyDescent="0.25">
      <c r="A123" s="97">
        <f>DONNEES[[#This Row],[AM]]</f>
        <v>44917</v>
      </c>
      <c r="B123" s="95">
        <f>WEEKDAY(DONNEES[[#This Row],[JOUR]],2)</f>
        <v>4</v>
      </c>
      <c r="C123" s="99">
        <f>_xlfn.ISOWEEKNUM(DONNEES[[#This Row],[AM]]-1)</f>
        <v>51</v>
      </c>
      <c r="D123" s="92">
        <v>44917</v>
      </c>
      <c r="E123" s="93">
        <f>DONNEES[[#This Row],[AM]]+1</f>
        <v>44918</v>
      </c>
      <c r="F123" s="14" t="s">
        <v>37</v>
      </c>
      <c r="G123" s="85">
        <v>5</v>
      </c>
      <c r="H123" s="13">
        <v>2</v>
      </c>
      <c r="I123" s="103" t="s">
        <v>156</v>
      </c>
      <c r="J123" s="14" t="s">
        <v>39</v>
      </c>
      <c r="K123" s="15">
        <v>117</v>
      </c>
      <c r="L123" s="16"/>
      <c r="M123" s="16"/>
      <c r="N123" s="17"/>
      <c r="O123" s="11">
        <v>117.9</v>
      </c>
      <c r="P123" s="8"/>
      <c r="Q123" s="8"/>
      <c r="R123" s="8"/>
      <c r="S123" s="8"/>
      <c r="T123" s="8"/>
      <c r="U123" s="8"/>
      <c r="V123" s="8"/>
      <c r="W123" s="9">
        <v>0.9</v>
      </c>
      <c r="X123" s="7"/>
      <c r="Y123" s="9"/>
      <c r="Z123" s="6">
        <f>IF(SUM(O123:W123)=0,IF(DONNEES[[#This Row],[ACPTE RECU]]-DONNEES[[#This Row],[ACPTE RENDU]]=0,"",DONNEES[[#This Row],[ACPTE RECU]]-DONNEES[[#This Row],[ACPTE RENDU]]),SUM(O123:W123)+DONNEES[[#This Row],[ACPTE RECU]]-DONNEES[[#This Row],[ACPTE RENDU]])</f>
        <v>118.80000000000001</v>
      </c>
      <c r="AA123" s="12">
        <v>44917</v>
      </c>
      <c r="AB123" s="53">
        <v>118.8</v>
      </c>
      <c r="AC123" s="8"/>
      <c r="AD123" s="8"/>
      <c r="AE123" s="8"/>
      <c r="AF123" s="8"/>
      <c r="AG123" s="8"/>
      <c r="AH123" s="8"/>
      <c r="AI123" s="8"/>
      <c r="AJ123" s="9"/>
      <c r="AK123" s="54">
        <f t="shared" ref="AK123:AK132" si="8">IF(SUM(AB123:AJ123)=0,"",SUM(AB123:AJ123))</f>
        <v>118.8</v>
      </c>
      <c r="AL123" s="11"/>
      <c r="AM123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3" s="119">
        <f>IF(DONNEES[[#This Row],[DATE
PAIEMT]]="",0,DONNEES[[#This Row],[DATE
PAIEMT]])</f>
        <v>44917</v>
      </c>
    </row>
    <row r="124" spans="1:40" x14ac:dyDescent="0.25">
      <c r="A124" s="97">
        <f>DONNEES[[#This Row],[AM]]</f>
        <v>44917</v>
      </c>
      <c r="B124" s="95">
        <f>WEEKDAY(DONNEES[[#This Row],[JOUR]],2)</f>
        <v>4</v>
      </c>
      <c r="C124" s="99">
        <f>_xlfn.ISOWEEKNUM(DONNEES[[#This Row],[AM]]-1)</f>
        <v>51</v>
      </c>
      <c r="D124" s="92">
        <v>44917</v>
      </c>
      <c r="E124" s="93">
        <f>DONNEES[[#This Row],[AM]]+1</f>
        <v>44918</v>
      </c>
      <c r="F124" s="14" t="s">
        <v>37</v>
      </c>
      <c r="G124" s="85">
        <v>12</v>
      </c>
      <c r="H124" s="13">
        <v>2</v>
      </c>
      <c r="I124" s="103" t="s">
        <v>157</v>
      </c>
      <c r="J124" s="14" t="s">
        <v>39</v>
      </c>
      <c r="K124" s="15">
        <v>96.3</v>
      </c>
      <c r="L124" s="16">
        <v>2</v>
      </c>
      <c r="M124" s="16"/>
      <c r="N124" s="17"/>
      <c r="O124" s="11">
        <v>97.2</v>
      </c>
      <c r="P124" s="8">
        <v>24</v>
      </c>
      <c r="Q124" s="8"/>
      <c r="R124" s="8"/>
      <c r="S124" s="8"/>
      <c r="T124" s="8"/>
      <c r="U124" s="8"/>
      <c r="V124" s="8"/>
      <c r="W124" s="9">
        <v>0.9</v>
      </c>
      <c r="X124" s="7"/>
      <c r="Y124" s="9"/>
      <c r="Z124" s="6">
        <f>IF(SUM(O124:W124)=0,IF(DONNEES[[#This Row],[ACPTE RECU]]-DONNEES[[#This Row],[ACPTE RENDU]]=0,"",DONNEES[[#This Row],[ACPTE RECU]]-DONNEES[[#This Row],[ACPTE RENDU]]),SUM(O124:W124)+DONNEES[[#This Row],[ACPTE RECU]]-DONNEES[[#This Row],[ACPTE RENDU]])</f>
        <v>122.10000000000001</v>
      </c>
      <c r="AA124" s="12">
        <f>IF(DONNEES[[#This Row],[DEP
REC]]="D",DONNEES[[#This Row],[DEPART]],"")</f>
        <v>44918</v>
      </c>
      <c r="AB124" s="53">
        <v>122.1</v>
      </c>
      <c r="AC124" s="8"/>
      <c r="AD124" s="8"/>
      <c r="AE124" s="8"/>
      <c r="AF124" s="8"/>
      <c r="AG124" s="8"/>
      <c r="AH124" s="8"/>
      <c r="AI124" s="8"/>
      <c r="AJ124" s="9"/>
      <c r="AK124" s="54">
        <f t="shared" si="8"/>
        <v>122.1</v>
      </c>
      <c r="AL124" s="11"/>
      <c r="AM124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4" s="119">
        <f>IF(DONNEES[[#This Row],[DATE
PAIEMT]]="",0,DONNEES[[#This Row],[DATE
PAIEMT]])</f>
        <v>44918</v>
      </c>
    </row>
    <row r="125" spans="1:40" x14ac:dyDescent="0.25">
      <c r="A125" s="97">
        <f>DONNEES[[#This Row],[AM]]</f>
        <v>44917</v>
      </c>
      <c r="B125" s="95">
        <f>WEEKDAY(DONNEES[[#This Row],[JOUR]],2)</f>
        <v>4</v>
      </c>
      <c r="C125" s="99">
        <f>_xlfn.ISOWEEKNUM(DONNEES[[#This Row],[AM]]-1)</f>
        <v>51</v>
      </c>
      <c r="D125" s="92">
        <v>44917</v>
      </c>
      <c r="E125" s="93">
        <f>DONNEES[[#This Row],[AM]]+1</f>
        <v>44918</v>
      </c>
      <c r="F125" s="14" t="s">
        <v>37</v>
      </c>
      <c r="G125" s="85">
        <v>20</v>
      </c>
      <c r="H125" s="13">
        <v>2</v>
      </c>
      <c r="I125" s="103" t="s">
        <v>158</v>
      </c>
      <c r="J125" s="14" t="s">
        <v>21</v>
      </c>
      <c r="K125" s="15">
        <v>95</v>
      </c>
      <c r="L125" s="16"/>
      <c r="M125" s="16"/>
      <c r="N125" s="17"/>
      <c r="O125" s="11">
        <v>95.9</v>
      </c>
      <c r="P125" s="8"/>
      <c r="Q125" s="8"/>
      <c r="R125" s="8"/>
      <c r="S125" s="8"/>
      <c r="T125" s="8"/>
      <c r="U125" s="8"/>
      <c r="V125" s="8"/>
      <c r="W125" s="9">
        <v>0.9</v>
      </c>
      <c r="X125" s="7"/>
      <c r="Y125" s="9"/>
      <c r="Z125" s="6">
        <f>IF(SUM(O125:W125)=0,IF(DONNEES[[#This Row],[ACPTE RECU]]-DONNEES[[#This Row],[ACPTE RENDU]]=0,"",DONNEES[[#This Row],[ACPTE RECU]]-DONNEES[[#This Row],[ACPTE RENDU]]),SUM(O125:W125)+DONNEES[[#This Row],[ACPTE RECU]]-DONNEES[[#This Row],[ACPTE RENDU]])</f>
        <v>96.800000000000011</v>
      </c>
      <c r="AA125" s="12">
        <f>IF(DONNEES[[#This Row],[DEP
REC]]="D",DONNEES[[#This Row],[DEPART]],"")</f>
        <v>44918</v>
      </c>
      <c r="AB125" s="53">
        <v>96.8</v>
      </c>
      <c r="AC125" s="8"/>
      <c r="AD125" s="8"/>
      <c r="AE125" s="8"/>
      <c r="AF125" s="8"/>
      <c r="AG125" s="8"/>
      <c r="AH125" s="8"/>
      <c r="AI125" s="8"/>
      <c r="AJ125" s="9"/>
      <c r="AK125" s="54">
        <f t="shared" si="8"/>
        <v>96.8</v>
      </c>
      <c r="AL125" s="11"/>
      <c r="AM125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5" s="119">
        <f>IF(DONNEES[[#This Row],[DATE
PAIEMT]]="",0,DONNEES[[#This Row],[DATE
PAIEMT]])</f>
        <v>44918</v>
      </c>
    </row>
    <row r="126" spans="1:40" x14ac:dyDescent="0.25">
      <c r="A126" s="97">
        <f>DONNEES[[#This Row],[AM]]</f>
        <v>44917</v>
      </c>
      <c r="B126" s="95">
        <f>WEEKDAY(DONNEES[[#This Row],[JOUR]],2)</f>
        <v>4</v>
      </c>
      <c r="C126" s="99">
        <f>_xlfn.ISOWEEKNUM(DONNEES[[#This Row],[AM]]-1)</f>
        <v>51</v>
      </c>
      <c r="D126" s="92">
        <v>44917</v>
      </c>
      <c r="E126" s="93">
        <f>DONNEES[[#This Row],[AM]]+1</f>
        <v>44918</v>
      </c>
      <c r="F126" s="14" t="s">
        <v>37</v>
      </c>
      <c r="G126" s="85">
        <v>21</v>
      </c>
      <c r="H126" s="13">
        <v>2</v>
      </c>
      <c r="I126" s="103" t="s">
        <v>159</v>
      </c>
      <c r="J126" s="14" t="s">
        <v>39</v>
      </c>
      <c r="K126" s="15">
        <v>96.3</v>
      </c>
      <c r="L126" s="16"/>
      <c r="M126" s="16"/>
      <c r="N126" s="17"/>
      <c r="O126" s="11">
        <v>97.2</v>
      </c>
      <c r="P126" s="8"/>
      <c r="Q126" s="8"/>
      <c r="R126" s="8"/>
      <c r="S126" s="8"/>
      <c r="T126" s="8"/>
      <c r="U126" s="8"/>
      <c r="V126" s="8"/>
      <c r="W126" s="9">
        <v>0.9</v>
      </c>
      <c r="X126" s="7"/>
      <c r="Y126" s="9"/>
      <c r="Z126" s="6">
        <f>IF(SUM(O126:W126)=0,IF(DONNEES[[#This Row],[ACPTE RECU]]-DONNEES[[#This Row],[ACPTE RENDU]]=0,"",DONNEES[[#This Row],[ACPTE RECU]]-DONNEES[[#This Row],[ACPTE RENDU]]),SUM(O126:W126)+DONNEES[[#This Row],[ACPTE RECU]]-DONNEES[[#This Row],[ACPTE RENDU]])</f>
        <v>98.100000000000009</v>
      </c>
      <c r="AA126" s="12">
        <v>44917</v>
      </c>
      <c r="AB126" s="53">
        <v>98.1</v>
      </c>
      <c r="AC126" s="8"/>
      <c r="AD126" s="8"/>
      <c r="AE126" s="8"/>
      <c r="AF126" s="8"/>
      <c r="AG126" s="8"/>
      <c r="AH126" s="8"/>
      <c r="AI126" s="8"/>
      <c r="AJ126" s="9"/>
      <c r="AK126" s="54">
        <f t="shared" si="8"/>
        <v>98.1</v>
      </c>
      <c r="AL126" s="11"/>
      <c r="AM126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6" s="119">
        <f>IF(DONNEES[[#This Row],[DATE
PAIEMT]]="",0,DONNEES[[#This Row],[DATE
PAIEMT]])</f>
        <v>44917</v>
      </c>
    </row>
    <row r="127" spans="1:40" x14ac:dyDescent="0.25">
      <c r="A127" s="97">
        <f>DONNEES[[#This Row],[AM]]</f>
        <v>44917</v>
      </c>
      <c r="B127" s="95">
        <f>WEEKDAY(DONNEES[[#This Row],[JOUR]],2)</f>
        <v>4</v>
      </c>
      <c r="C127" s="99">
        <f>_xlfn.ISOWEEKNUM(DONNEES[[#This Row],[AM]]-1)</f>
        <v>51</v>
      </c>
      <c r="D127" s="92">
        <v>44917</v>
      </c>
      <c r="E127" s="93">
        <f>DONNEES[[#This Row],[AM]]+1</f>
        <v>44918</v>
      </c>
      <c r="F127" s="14" t="s">
        <v>37</v>
      </c>
      <c r="G127" s="85">
        <v>22</v>
      </c>
      <c r="H127" s="13">
        <v>1</v>
      </c>
      <c r="I127" s="103" t="s">
        <v>160</v>
      </c>
      <c r="J127" s="14" t="s">
        <v>39</v>
      </c>
      <c r="K127" s="15">
        <v>96.3</v>
      </c>
      <c r="L127" s="16">
        <v>1</v>
      </c>
      <c r="M127" s="16"/>
      <c r="N127" s="17"/>
      <c r="O127" s="11">
        <v>96.3</v>
      </c>
      <c r="P127" s="8">
        <v>12</v>
      </c>
      <c r="Q127" s="8"/>
      <c r="R127" s="8"/>
      <c r="S127" s="8"/>
      <c r="T127" s="8"/>
      <c r="U127" s="8"/>
      <c r="V127" s="8"/>
      <c r="W127" s="9">
        <v>0.9</v>
      </c>
      <c r="X127" s="7"/>
      <c r="Y127" s="9"/>
      <c r="Z127" s="6">
        <f>IF(SUM(O127:W127)=0,IF(DONNEES[[#This Row],[ACPTE RECU]]-DONNEES[[#This Row],[ACPTE RENDU]]=0,"",DONNEES[[#This Row],[ACPTE RECU]]-DONNEES[[#This Row],[ACPTE RENDU]]),SUM(O127:W127)+DONNEES[[#This Row],[ACPTE RECU]]-DONNEES[[#This Row],[ACPTE RENDU]])</f>
        <v>109.2</v>
      </c>
      <c r="AA127" s="12">
        <v>44917</v>
      </c>
      <c r="AB127" s="53">
        <v>109.2</v>
      </c>
      <c r="AC127" s="8"/>
      <c r="AD127" s="8"/>
      <c r="AE127" s="8"/>
      <c r="AF127" s="8"/>
      <c r="AG127" s="8"/>
      <c r="AH127" s="8"/>
      <c r="AI127" s="8"/>
      <c r="AJ127" s="9"/>
      <c r="AK127" s="54">
        <f t="shared" si="8"/>
        <v>109.2</v>
      </c>
      <c r="AL127" s="11"/>
      <c r="AM127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7" s="119">
        <f>IF(DONNEES[[#This Row],[DATE
PAIEMT]]="",0,DONNEES[[#This Row],[DATE
PAIEMT]])</f>
        <v>44917</v>
      </c>
    </row>
    <row r="128" spans="1:40" x14ac:dyDescent="0.25">
      <c r="A128" s="97">
        <f>DONNEES[[#This Row],[AM]]</f>
        <v>44917</v>
      </c>
      <c r="B128" s="95">
        <f>WEEKDAY(DONNEES[[#This Row],[JOUR]],2)</f>
        <v>4</v>
      </c>
      <c r="C128" s="99">
        <f>_xlfn.ISOWEEKNUM(DONNEES[[#This Row],[AM]]-1)</f>
        <v>51</v>
      </c>
      <c r="D128" s="92">
        <v>44917</v>
      </c>
      <c r="E128" s="93">
        <f>DONNEES[[#This Row],[AM]]+1</f>
        <v>44918</v>
      </c>
      <c r="F128" s="14" t="s">
        <v>37</v>
      </c>
      <c r="G128" s="85">
        <v>25</v>
      </c>
      <c r="H128" s="13">
        <v>1</v>
      </c>
      <c r="I128" s="103" t="s">
        <v>91</v>
      </c>
      <c r="J128" s="14" t="s">
        <v>21</v>
      </c>
      <c r="K128" s="15">
        <v>115</v>
      </c>
      <c r="L128" s="16">
        <v>1</v>
      </c>
      <c r="M128" s="16"/>
      <c r="N128" s="17"/>
      <c r="O128" s="11">
        <f>3*115</f>
        <v>345</v>
      </c>
      <c r="P128" s="8">
        <v>36</v>
      </c>
      <c r="Q128" s="8"/>
      <c r="R128" s="8"/>
      <c r="S128" s="8"/>
      <c r="T128" s="8"/>
      <c r="U128" s="8"/>
      <c r="V128" s="8"/>
      <c r="W128" s="9">
        <v>2.7</v>
      </c>
      <c r="X128" s="7"/>
      <c r="Y128" s="9"/>
      <c r="Z128" s="6">
        <f>IF(SUM(O128:W128)=0,IF(DONNEES[[#This Row],[ACPTE RECU]]-DONNEES[[#This Row],[ACPTE RENDU]]=0,"",DONNEES[[#This Row],[ACPTE RECU]]-DONNEES[[#This Row],[ACPTE RENDU]]),SUM(O128:W128)+DONNEES[[#This Row],[ACPTE RECU]]-DONNEES[[#This Row],[ACPTE RENDU]])</f>
        <v>383.7</v>
      </c>
      <c r="AA128" s="12">
        <f>IF(DONNEES[[#This Row],[DEP
REC]]="D",DONNEES[[#This Row],[DEPART]],"")</f>
        <v>44918</v>
      </c>
      <c r="AB128" s="53"/>
      <c r="AC128" s="8"/>
      <c r="AD128" s="8">
        <v>383.7</v>
      </c>
      <c r="AE128" s="8"/>
      <c r="AF128" s="8"/>
      <c r="AG128" s="8"/>
      <c r="AH128" s="8"/>
      <c r="AI128" s="8"/>
      <c r="AJ128" s="9"/>
      <c r="AK128" s="54">
        <f t="shared" si="8"/>
        <v>383.7</v>
      </c>
      <c r="AL128" s="11"/>
      <c r="AM128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8" s="119">
        <f>IF(DONNEES[[#This Row],[DATE
PAIEMT]]="",0,DONNEES[[#This Row],[DATE
PAIEMT]])</f>
        <v>44918</v>
      </c>
    </row>
    <row r="129" spans="1:40" x14ac:dyDescent="0.25">
      <c r="A129" s="97">
        <f>DONNEES[[#This Row],[AM]]</f>
        <v>44917</v>
      </c>
      <c r="B129" s="95">
        <f>WEEKDAY(DONNEES[[#This Row],[JOUR]],2)</f>
        <v>4</v>
      </c>
      <c r="C129" s="99">
        <f>_xlfn.ISOWEEKNUM(DONNEES[[#This Row],[AM]]-1)</f>
        <v>51</v>
      </c>
      <c r="D129" s="92">
        <v>44917</v>
      </c>
      <c r="E129" s="93">
        <f>DONNEES[[#This Row],[AM]]+1</f>
        <v>44918</v>
      </c>
      <c r="F129" s="14" t="s">
        <v>37</v>
      </c>
      <c r="G129" s="85">
        <v>14</v>
      </c>
      <c r="H129" s="13">
        <v>1</v>
      </c>
      <c r="I129" s="103" t="s">
        <v>147</v>
      </c>
      <c r="J129" s="14" t="s">
        <v>39</v>
      </c>
      <c r="K129" s="15">
        <v>96.3</v>
      </c>
      <c r="L129" s="16">
        <v>1</v>
      </c>
      <c r="M129" s="16"/>
      <c r="N129" s="17"/>
      <c r="O129" s="11">
        <v>96.3</v>
      </c>
      <c r="P129" s="8">
        <f>14+14</f>
        <v>28</v>
      </c>
      <c r="Q129" s="8"/>
      <c r="R129" s="8"/>
      <c r="S129" s="8"/>
      <c r="T129" s="8"/>
      <c r="U129" s="8"/>
      <c r="V129" s="8"/>
      <c r="W129" s="9">
        <v>0.9</v>
      </c>
      <c r="X129" s="7"/>
      <c r="Y129" s="9"/>
      <c r="Z129" s="6">
        <f>IF(SUM(O129:W129)=0,IF(DONNEES[[#This Row],[ACPTE RECU]]-DONNEES[[#This Row],[ACPTE RENDU]]=0,"",DONNEES[[#This Row],[ACPTE RECU]]-DONNEES[[#This Row],[ACPTE RENDU]]),SUM(O129:W129)+DONNEES[[#This Row],[ACPTE RECU]]-DONNEES[[#This Row],[ACPTE RENDU]])</f>
        <v>125.2</v>
      </c>
      <c r="AA129" s="12">
        <v>44917</v>
      </c>
      <c r="AB129" s="53">
        <f>111.2+14</f>
        <v>125.2</v>
      </c>
      <c r="AC129" s="8"/>
      <c r="AD129" s="8"/>
      <c r="AE129" s="8"/>
      <c r="AF129" s="8"/>
      <c r="AG129" s="8"/>
      <c r="AH129" s="8"/>
      <c r="AI129" s="8"/>
      <c r="AJ129" s="9"/>
      <c r="AK129" s="54">
        <f t="shared" si="8"/>
        <v>125.2</v>
      </c>
      <c r="AL129" s="11"/>
      <c r="AM129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29" s="119">
        <f>IF(DONNEES[[#This Row],[DATE
PAIEMT]]="",0,DONNEES[[#This Row],[DATE
PAIEMT]])</f>
        <v>44917</v>
      </c>
    </row>
    <row r="130" spans="1:40" x14ac:dyDescent="0.25">
      <c r="A130" s="97">
        <f>DONNEES[[#This Row],[AM]]</f>
        <v>44917</v>
      </c>
      <c r="B130" s="95">
        <f>WEEKDAY(DONNEES[[#This Row],[JOUR]],2)</f>
        <v>4</v>
      </c>
      <c r="C130" s="99">
        <f>_xlfn.ISOWEEKNUM(DONNEES[[#This Row],[AM]]-1)</f>
        <v>51</v>
      </c>
      <c r="D130" s="92">
        <v>44917</v>
      </c>
      <c r="E130" s="93">
        <f>DONNEES[[#This Row],[AM]]+1</f>
        <v>44918</v>
      </c>
      <c r="F130" s="14" t="s">
        <v>37</v>
      </c>
      <c r="G130" s="85">
        <v>15</v>
      </c>
      <c r="H130" s="13">
        <v>2</v>
      </c>
      <c r="I130" s="103" t="s">
        <v>161</v>
      </c>
      <c r="J130" s="14" t="s">
        <v>21</v>
      </c>
      <c r="K130" s="15">
        <v>135</v>
      </c>
      <c r="L130" s="16"/>
      <c r="M130" s="16">
        <v>2</v>
      </c>
      <c r="N130" s="17"/>
      <c r="O130" s="11">
        <v>135.9</v>
      </c>
      <c r="P130" s="8"/>
      <c r="Q130" s="8"/>
      <c r="R130" s="8"/>
      <c r="S130" s="8"/>
      <c r="T130" s="8">
        <v>30</v>
      </c>
      <c r="U130" s="8"/>
      <c r="V130" s="8"/>
      <c r="W130" s="9">
        <v>0.9</v>
      </c>
      <c r="X130" s="7"/>
      <c r="Y130" s="9"/>
      <c r="Z130" s="6">
        <f>IF(SUM(O130:W130)=0,IF(DONNEES[[#This Row],[ACPTE RECU]]-DONNEES[[#This Row],[ACPTE RENDU]]=0,"",DONNEES[[#This Row],[ACPTE RECU]]-DONNEES[[#This Row],[ACPTE RENDU]]),SUM(O130:W130)+DONNEES[[#This Row],[ACPTE RECU]]-DONNEES[[#This Row],[ACPTE RENDU]])</f>
        <v>166.8</v>
      </c>
      <c r="AA130" s="12">
        <f>IF(DONNEES[[#This Row],[DEP
REC]]="D",DONNEES[[#This Row],[DEPART]],"")</f>
        <v>44918</v>
      </c>
      <c r="AB130" s="53">
        <v>166.8</v>
      </c>
      <c r="AC130" s="8"/>
      <c r="AD130" s="8"/>
      <c r="AE130" s="8"/>
      <c r="AF130" s="8"/>
      <c r="AG130" s="8"/>
      <c r="AH130" s="8"/>
      <c r="AI130" s="8"/>
      <c r="AJ130" s="9"/>
      <c r="AK130" s="54">
        <f t="shared" si="8"/>
        <v>166.8</v>
      </c>
      <c r="AL130" s="11"/>
      <c r="AM130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0" s="119">
        <f>IF(DONNEES[[#This Row],[DATE
PAIEMT]]="",0,DONNEES[[#This Row],[DATE
PAIEMT]])</f>
        <v>44918</v>
      </c>
    </row>
    <row r="131" spans="1:40" x14ac:dyDescent="0.25">
      <c r="A131" s="97">
        <f>DONNEES[[#This Row],[AM]]</f>
        <v>44917</v>
      </c>
      <c r="B131" s="95">
        <f>WEEKDAY(DONNEES[[#This Row],[JOUR]],2)</f>
        <v>4</v>
      </c>
      <c r="C131" s="99">
        <f>_xlfn.ISOWEEKNUM(DONNEES[[#This Row],[AM]]-1)</f>
        <v>51</v>
      </c>
      <c r="D131" s="92">
        <v>44917</v>
      </c>
      <c r="E131" s="93">
        <f>DONNEES[[#This Row],[AM]]+1</f>
        <v>44918</v>
      </c>
      <c r="F131" s="14" t="s">
        <v>37</v>
      </c>
      <c r="G131" s="85">
        <v>16</v>
      </c>
      <c r="H131" s="13">
        <v>1</v>
      </c>
      <c r="I131" s="103" t="s">
        <v>162</v>
      </c>
      <c r="J131" s="14" t="s">
        <v>39</v>
      </c>
      <c r="K131" s="15">
        <v>107</v>
      </c>
      <c r="L131" s="16">
        <v>1</v>
      </c>
      <c r="M131" s="16"/>
      <c r="N131" s="17"/>
      <c r="O131" s="11">
        <v>107.1</v>
      </c>
      <c r="P131" s="8"/>
      <c r="Q131" s="8"/>
      <c r="R131" s="8"/>
      <c r="S131" s="8"/>
      <c r="T131" s="8"/>
      <c r="U131" s="8"/>
      <c r="V131" s="8"/>
      <c r="W131" s="9">
        <v>0.9</v>
      </c>
      <c r="X131" s="7"/>
      <c r="Y131" s="9"/>
      <c r="Z131" s="6">
        <f>IF(SUM(O131:W131)=0,IF(DONNEES[[#This Row],[ACPTE RECU]]-DONNEES[[#This Row],[ACPTE RENDU]]=0,"",DONNEES[[#This Row],[ACPTE RECU]]-DONNEES[[#This Row],[ACPTE RENDU]]),SUM(O131:W131)+DONNEES[[#This Row],[ACPTE RECU]]-DONNEES[[#This Row],[ACPTE RENDU]])</f>
        <v>108</v>
      </c>
      <c r="AA131" s="12">
        <f>IF(DONNEES[[#This Row],[DEP
REC]]="D",DONNEES[[#This Row],[DEPART]],"")</f>
        <v>44918</v>
      </c>
      <c r="AB131" s="53"/>
      <c r="AC131" s="8"/>
      <c r="AD131" s="8"/>
      <c r="AE131" s="8">
        <f>107+1</f>
        <v>108</v>
      </c>
      <c r="AF131" s="8"/>
      <c r="AG131" s="8"/>
      <c r="AH131" s="8"/>
      <c r="AI131" s="8"/>
      <c r="AJ131" s="9"/>
      <c r="AK131" s="54">
        <f t="shared" si="8"/>
        <v>108</v>
      </c>
      <c r="AL131" s="11"/>
      <c r="AM131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1" s="119">
        <f>IF(DONNEES[[#This Row],[DATE
PAIEMT]]="",0,DONNEES[[#This Row],[DATE
PAIEMT]])</f>
        <v>44918</v>
      </c>
    </row>
    <row r="132" spans="1:40" ht="14.4" thickBot="1" x14ac:dyDescent="0.3">
      <c r="A132" s="97">
        <f>DONNEES[[#This Row],[AM]]</f>
        <v>44917</v>
      </c>
      <c r="B132" s="95">
        <f>WEEKDAY(DONNEES[[#This Row],[JOUR]],2)</f>
        <v>4</v>
      </c>
      <c r="C132" s="99">
        <f>_xlfn.ISOWEEKNUM(DONNEES[[#This Row],[AM]]-1)</f>
        <v>51</v>
      </c>
      <c r="D132" s="92">
        <v>44917</v>
      </c>
      <c r="E132" s="93">
        <f>DONNEES[[#This Row],[AM]]+1</f>
        <v>44918</v>
      </c>
      <c r="F132" s="14" t="s">
        <v>37</v>
      </c>
      <c r="G132" s="85">
        <v>24</v>
      </c>
      <c r="H132" s="13">
        <v>2</v>
      </c>
      <c r="I132" s="103" t="s">
        <v>163</v>
      </c>
      <c r="J132" s="14" t="s">
        <v>39</v>
      </c>
      <c r="K132" s="15">
        <v>122.4</v>
      </c>
      <c r="L132" s="16">
        <v>2</v>
      </c>
      <c r="M132" s="16">
        <v>1</v>
      </c>
      <c r="N132" s="17"/>
      <c r="O132" s="11">
        <v>123.3</v>
      </c>
      <c r="P132" s="8">
        <v>24</v>
      </c>
      <c r="Q132" s="8"/>
      <c r="R132" s="8"/>
      <c r="S132" s="8"/>
      <c r="T132" s="8">
        <v>15</v>
      </c>
      <c r="U132" s="8"/>
      <c r="V132" s="8"/>
      <c r="W132" s="9">
        <v>0.9</v>
      </c>
      <c r="X132" s="7"/>
      <c r="Y132" s="9"/>
      <c r="Z132" s="6">
        <f>IF(SUM(O132:W132)=0,IF(DONNEES[[#This Row],[ACPTE RECU]]-DONNEES[[#This Row],[ACPTE RENDU]]=0,"",DONNEES[[#This Row],[ACPTE RECU]]-DONNEES[[#This Row],[ACPTE RENDU]]),SUM(O132:W132)+DONNEES[[#This Row],[ACPTE RECU]]-DONNEES[[#This Row],[ACPTE RENDU]])</f>
        <v>163.20000000000002</v>
      </c>
      <c r="AA132" s="12">
        <v>44917</v>
      </c>
      <c r="AB132" s="53">
        <v>163.19999999999999</v>
      </c>
      <c r="AC132" s="8"/>
      <c r="AD132" s="8"/>
      <c r="AE132" s="8"/>
      <c r="AF132" s="8"/>
      <c r="AG132" s="8"/>
      <c r="AH132" s="8"/>
      <c r="AI132" s="8"/>
      <c r="AJ132" s="9"/>
      <c r="AK132" s="54">
        <f t="shared" si="8"/>
        <v>163.19999999999999</v>
      </c>
      <c r="AL132" s="11"/>
      <c r="AM132" s="10" t="str">
        <f>IF(DONNEES[[#This Row],[TOTAL TTC FACTURE]]=DONNEES[[#This Row],[TOTAL TTC ENCAISSE]],"",IF(DONNEES[[#This Row],[TOTAL TTC FACTURE]]="",0,DONNEES[[#This Row],[TOTAL TTC FACTURE]])-IF(DONNEES[[#This Row],[TOTAL TTC ENCAISSE]]="",0,DONNEES[[#This Row],[TOTAL TTC ENCAISSE]]))</f>
        <v/>
      </c>
      <c r="AN132" s="119">
        <f>IF(DONNEES[[#This Row],[DATE
PAIEMT]]="",0,DONNEES[[#This Row],[DATE
PAIEMT]])</f>
        <v>44917</v>
      </c>
    </row>
    <row r="133" spans="1:40" ht="15" thickTop="1" thickBot="1" x14ac:dyDescent="0.3">
      <c r="A133" s="107"/>
      <c r="B133" s="108"/>
      <c r="C133" s="109"/>
      <c r="D133" s="110"/>
      <c r="E133" s="111"/>
      <c r="F133" s="36"/>
      <c r="G133" s="102"/>
      <c r="H133" s="37">
        <f>SUBTOTAL(109,DONNEES[PERS])</f>
        <v>219</v>
      </c>
      <c r="I133" s="112"/>
      <c r="J133" s="36">
        <f>SUBTOTAL(103,DONNEES[RESA])</f>
        <v>128</v>
      </c>
      <c r="K133" s="55">
        <f>SUBTOTAL(101,DONNEES[CH])</f>
        <v>168.18425196850393</v>
      </c>
      <c r="L133" s="81">
        <f>SUBTOTAL(103,DONNEES[NB PDJ])</f>
        <v>70</v>
      </c>
      <c r="M133" s="81">
        <f>SUBTOTAL(103,DONNEES[PARK])</f>
        <v>26</v>
      </c>
      <c r="N133" s="82">
        <f>SUBTOTAL(109,DONNEES[EXTRA])</f>
        <v>139</v>
      </c>
      <c r="O133" s="38">
        <f>SUBTOTAL(109,DONNEES[CHAMB.])</f>
        <v>19966.900000000009</v>
      </c>
      <c r="P133" s="39">
        <f>SUBTOTAL(109,DONNEES[PDJ])</f>
        <v>1240</v>
      </c>
      <c r="Q133" s="39">
        <f>SUBTOTAL(109,DONNEES[BOISS])</f>
        <v>53</v>
      </c>
      <c r="R133" s="39">
        <f>SUBTOTAL(109,DONNEES[ALC])</f>
        <v>64</v>
      </c>
      <c r="S133" s="39">
        <f>SUBTOTAL(109,DONNEES[RESTO])</f>
        <v>0</v>
      </c>
      <c r="T133" s="39">
        <f>SUBTOTAL(109,DONNEES[PKG])</f>
        <v>353</v>
      </c>
      <c r="U133" s="39">
        <f>SUBTOTAL(109,DONNEES[PRESG])</f>
        <v>0</v>
      </c>
      <c r="V133" s="39">
        <f>SUBTOTAL(109,DONNEES[DIV])</f>
        <v>0</v>
      </c>
      <c r="W133" s="40">
        <f>SUBTOTAL(109,DONNEES[TS])</f>
        <v>108.90000000000012</v>
      </c>
      <c r="X133" s="41"/>
      <c r="Y133" s="40"/>
      <c r="Z133" s="114">
        <f>SUBTOTAL(109,DONNEES[TOTAL TTC FACTURE])</f>
        <v>21785.799999999988</v>
      </c>
      <c r="AA133" s="80"/>
      <c r="AB133" s="56">
        <f>SUBTOTAL(109,DONNEES[CB
EMV])</f>
        <v>15811.399999999998</v>
      </c>
      <c r="AC133" s="39">
        <f>SUBTOTAL(109,DONNEES[AMEX])</f>
        <v>1566.3000000000002</v>
      </c>
      <c r="AD133" s="39">
        <f>SUBTOTAL(109,DONNEES[CB
VAD])</f>
        <v>942.09999999999991</v>
      </c>
      <c r="AE133" s="39">
        <f>SUBTOTAL(109,DONNEES[PLBS])</f>
        <v>1831.2</v>
      </c>
      <c r="AF133" s="39">
        <f>SUBTOTAL(109,DONNEES[CB
SS CTC])</f>
        <v>299.60000000000002</v>
      </c>
      <c r="AG133" s="39">
        <f>SUBTOTAL(109,DONNEES[CHQ VAC.])</f>
        <v>740</v>
      </c>
      <c r="AH133" s="39">
        <f>SUBTOTAL(109,DONNEES[ESPECES])</f>
        <v>306.2</v>
      </c>
      <c r="AI133" s="39">
        <f>SUBTOTAL(109,DONNEES[CHQ BANCAIRE])</f>
        <v>0</v>
      </c>
      <c r="AJ133" s="40">
        <f>SUBTOTAL(109,DONNEES[VIRMT])</f>
        <v>0</v>
      </c>
      <c r="AK133" s="115">
        <f>SUBTOTAL(109,DONNEES[TOTAL TTC ENCAISSE])</f>
        <v>21496.799999999988</v>
      </c>
      <c r="AL133" s="38">
        <f>SUBTOTAL(109,DONNEES[DIFFERE
RECU])</f>
        <v>0</v>
      </c>
      <c r="AM133" s="42">
        <f>SUBTOTAL(109,DONNEES[DIFFERE
ATTENTE])</f>
        <v>289</v>
      </c>
      <c r="AN133" s="113"/>
    </row>
    <row r="134" spans="1:40" ht="14.4" thickTop="1" x14ac:dyDescent="0.25">
      <c r="A134" s="4">
        <v>2</v>
      </c>
      <c r="G134" s="4" t="s">
        <v>6</v>
      </c>
      <c r="I134" s="5"/>
      <c r="J134" s="25"/>
      <c r="K134" s="25"/>
      <c r="L134" s="25"/>
      <c r="M134" s="32">
        <v>0.1</v>
      </c>
      <c r="N134" s="32">
        <v>0.1</v>
      </c>
      <c r="O134" s="32">
        <v>0.1</v>
      </c>
      <c r="P134" s="32">
        <v>0.2</v>
      </c>
      <c r="Q134" s="32">
        <v>0.1</v>
      </c>
      <c r="R134" s="32">
        <v>0.2</v>
      </c>
      <c r="S134" s="32">
        <v>0.2</v>
      </c>
      <c r="T134" s="32">
        <v>0.2</v>
      </c>
      <c r="U134" s="18"/>
      <c r="X134" s="33"/>
      <c r="Y134" s="12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24">
        <f>DONNEES[[#Totals],[DIFFERE
ATTENTE]]-DONNEES[[#Totals],[DIFFERE
RECU]]</f>
        <v>289</v>
      </c>
      <c r="AK134" s="124"/>
      <c r="AL134" s="31"/>
    </row>
    <row r="135" spans="1:40" x14ac:dyDescent="0.25">
      <c r="A135" s="4">
        <v>3</v>
      </c>
      <c r="F135" s="4">
        <f>DONNEES[[#Totals],[PERS]]*0.9</f>
        <v>197.1</v>
      </c>
      <c r="G135" s="20" t="s">
        <v>0</v>
      </c>
      <c r="I135" s="5"/>
      <c r="J135" s="25"/>
      <c r="K135" s="25"/>
      <c r="L135" s="25"/>
      <c r="M135" s="18">
        <f>ROUND(M136*M134,2)</f>
        <v>1815.17</v>
      </c>
      <c r="N135" s="18">
        <f t="shared" ref="N135:T135" si="9">ROUND(N136*N134,2)</f>
        <v>112.73</v>
      </c>
      <c r="O135" s="18">
        <f t="shared" si="9"/>
        <v>4.82</v>
      </c>
      <c r="P135" s="18">
        <f t="shared" si="9"/>
        <v>10.67</v>
      </c>
      <c r="Q135" s="18">
        <f t="shared" si="9"/>
        <v>0</v>
      </c>
      <c r="R135" s="18">
        <f t="shared" si="9"/>
        <v>58.83</v>
      </c>
      <c r="S135" s="18">
        <f t="shared" si="9"/>
        <v>0</v>
      </c>
      <c r="T135" s="18">
        <f t="shared" si="9"/>
        <v>0</v>
      </c>
      <c r="U135" s="18"/>
      <c r="W135" s="20" t="s">
        <v>0</v>
      </c>
      <c r="X135" s="26">
        <f>SUM(M135:T135)</f>
        <v>2002.22</v>
      </c>
      <c r="Y135" s="12"/>
      <c r="Z135" s="35">
        <v>2652.9</v>
      </c>
      <c r="AA135" s="65">
        <v>44550</v>
      </c>
      <c r="AD135" s="3"/>
      <c r="AI135" s="18"/>
      <c r="AJ135" s="3"/>
      <c r="AK135" s="18"/>
    </row>
    <row r="136" spans="1:40" x14ac:dyDescent="0.25">
      <c r="A136" s="4">
        <v>4</v>
      </c>
      <c r="F136" s="25">
        <f>F135-DONNEES[[#Totals],[TS]]</f>
        <v>88.199999999999875</v>
      </c>
      <c r="G136" s="28" t="s">
        <v>4</v>
      </c>
      <c r="I136" s="5"/>
      <c r="J136" s="25"/>
      <c r="K136" s="25"/>
      <c r="L136" s="25"/>
      <c r="M136" s="29">
        <f>ROUND(DONNEES[[#Totals],[CHAMB.]]/1.1,2)</f>
        <v>18151.73</v>
      </c>
      <c r="N136" s="29">
        <f>ROUND(DONNEES[[#Totals],[PDJ]]/1.1,2)</f>
        <v>1127.27</v>
      </c>
      <c r="O136" s="29">
        <f>ROUND(DONNEES[[#Totals],[BOISS]]/1.1,2)</f>
        <v>48.18</v>
      </c>
      <c r="P136" s="29">
        <f>ROUND(DONNEES[[#Totals],[ALC]]/1.2,2)</f>
        <v>53.33</v>
      </c>
      <c r="Q136" s="29">
        <f>ROUND(DONNEES[[#Totals],[RESTO]]/1.1,2)</f>
        <v>0</v>
      </c>
      <c r="R136" s="29">
        <f>ROUND(DONNEES[[#Totals],[PKG]]/1.2,2)</f>
        <v>294.17</v>
      </c>
      <c r="S136" s="29">
        <f>ROUND(DONNEES[[#Totals],[PRESG]]/1.2,2)</f>
        <v>0</v>
      </c>
      <c r="T136" s="29">
        <f>ROUND(DONNEES[[#Totals],[DIV]]/1.2,2)</f>
        <v>0</v>
      </c>
      <c r="U136" s="18"/>
      <c r="W136" s="28" t="s">
        <v>4</v>
      </c>
      <c r="X136" s="27">
        <f>SUM(M136:T136)</f>
        <v>19674.68</v>
      </c>
      <c r="Y136" s="12"/>
      <c r="Z136" s="3"/>
      <c r="AA136" s="3"/>
      <c r="AD136" s="3"/>
      <c r="AF136" s="18"/>
      <c r="AI136" s="18"/>
      <c r="AJ136" t="s">
        <v>80</v>
      </c>
      <c r="AK136" s="18">
        <v>122.8</v>
      </c>
    </row>
    <row r="137" spans="1:40" x14ac:dyDescent="0.25">
      <c r="A137" s="4">
        <v>5</v>
      </c>
      <c r="I137" s="5">
        <f>DONNEES[[#Totals],[CH]]</f>
        <v>168.18425196850393</v>
      </c>
      <c r="J137" s="5">
        <f>DONNEES[[#Totals],[NB PDJ]]*11</f>
        <v>770</v>
      </c>
      <c r="K137" s="5">
        <f>DONNEES[[#Totals],[PARK]]*13</f>
        <v>338</v>
      </c>
      <c r="L137" s="5">
        <f>DONNEES[[#Totals],[EXTRA]]</f>
        <v>139</v>
      </c>
      <c r="M137" s="4" t="str">
        <f>IF(M136+M135=DONNEES[[#Totals],[CHAMB.]],"OK","ERREUR")</f>
        <v>OK</v>
      </c>
      <c r="N137" s="4" t="str">
        <f>IF(N136+N135=DONNEES[[#Totals],[PDJ]],"OK","ERREUR")</f>
        <v>OK</v>
      </c>
      <c r="O137" s="4" t="str">
        <f>IF(O136+O135=DONNEES[[#Totals],[BOISS]],"OK","ERREUR")</f>
        <v>OK</v>
      </c>
      <c r="P137" s="4" t="str">
        <f>IF(P136+P135=DONNEES[[#Totals],[ALC]],"OK","ERREUR")</f>
        <v>OK</v>
      </c>
      <c r="Q137" s="4" t="str">
        <f>IF(Q136+Q135=DONNEES[[#Totals],[RESTO]],"OK","ERREUR")</f>
        <v>OK</v>
      </c>
      <c r="R137" s="4" t="str">
        <f>IF(R136+R135=DONNEES[[#Totals],[PKG]],"OK","ERREUR")</f>
        <v>OK</v>
      </c>
      <c r="S137" s="4" t="str">
        <f>IF(S136+S135=DONNEES[[#Totals],[PRESG]],"OK","ERREUR")</f>
        <v>OK</v>
      </c>
      <c r="T137" s="4" t="str">
        <f>IF(T136+T135=DONNEES[[#Totals],[DIV]],"OK","ERREUR")</f>
        <v>OK</v>
      </c>
      <c r="AK137" s="18"/>
      <c r="AL137" s="76"/>
    </row>
    <row r="138" spans="1:40" ht="14.4" thickBot="1" x14ac:dyDescent="0.3">
      <c r="A138" s="4">
        <v>6</v>
      </c>
      <c r="C138" s="23"/>
      <c r="G138" s="64"/>
      <c r="H138" s="4">
        <v>334</v>
      </c>
      <c r="I138" s="124">
        <f>SUM(I137:L137)</f>
        <v>1415.184251968504</v>
      </c>
      <c r="J138" s="124"/>
      <c r="K138" s="124"/>
      <c r="L138" s="124"/>
      <c r="V138" s="20" t="s">
        <v>48</v>
      </c>
      <c r="W138" s="19">
        <f>31-3</f>
        <v>28</v>
      </c>
      <c r="AK138" s="18"/>
    </row>
    <row r="139" spans="1:40" ht="14.4" thickTop="1" x14ac:dyDescent="0.25">
      <c r="A139" s="4">
        <v>7</v>
      </c>
      <c r="G139" s="64"/>
      <c r="H139" s="4">
        <f>31*16</f>
        <v>496</v>
      </c>
      <c r="I139" s="5"/>
      <c r="J139" s="5"/>
      <c r="V139" s="20" t="s">
        <v>49</v>
      </c>
      <c r="W139" s="19">
        <v>23</v>
      </c>
      <c r="X139" s="21">
        <f>DONNEES[[#Totals],[TOTAL TTC FACTURE]]*W138/W139</f>
        <v>26521.843478260857</v>
      </c>
      <c r="Y139" s="22" t="s">
        <v>3</v>
      </c>
      <c r="AJ139" t="s">
        <v>81</v>
      </c>
      <c r="AK139" s="18">
        <v>-30</v>
      </c>
      <c r="AL139" s="76"/>
    </row>
    <row r="140" spans="1:40" ht="14.4" thickBot="1" x14ac:dyDescent="0.3">
      <c r="A140" s="4">
        <v>8</v>
      </c>
      <c r="G140" s="64"/>
      <c r="H140" s="62">
        <f>H138/H139</f>
        <v>0.67338709677419351</v>
      </c>
      <c r="M140" s="5"/>
      <c r="O140" s="18"/>
      <c r="W140" s="57" t="s">
        <v>47</v>
      </c>
      <c r="X140" s="34">
        <f>(((DONNEES[[#Totals],[CHAMB.]]+DONNEES[[#Totals],[PDJ]]+DONNEES[[#Totals],[BOISS]]+DONNEES[[#Totals],[RESTO]])/1.1)+((DONNEES[[#Totals],[ALC]]+DONNEES[[#Totals],[PKG]]+DONNEES[[#Totals],[PRESG]]+DONNEES[[#Totals],[DIV]])/1.2))*W138/W139</f>
        <v>23951.786561264827</v>
      </c>
      <c r="Y140" s="22" t="s">
        <v>4</v>
      </c>
      <c r="AB140" s="3">
        <f>2513.5-3262.9</f>
        <v>-749.40000000000009</v>
      </c>
      <c r="AF140" s="35"/>
      <c r="AG140" s="35"/>
      <c r="AK140" s="18"/>
      <c r="AL140" s="76"/>
    </row>
    <row r="141" spans="1:40" ht="14.4" thickTop="1" x14ac:dyDescent="0.25">
      <c r="A141" s="4">
        <v>9</v>
      </c>
      <c r="C141" s="20" t="s">
        <v>45</v>
      </c>
      <c r="D141" s="4">
        <f>COUNTIF(DONNEES[DEP
REC],"D")</f>
        <v>82</v>
      </c>
      <c r="E141" s="23">
        <f>D141/(D141+D142)</f>
        <v>0.64566929133858264</v>
      </c>
      <c r="G141" s="20" t="s">
        <v>21</v>
      </c>
      <c r="H141" s="4">
        <f>COUNTIF(DONNEES[RESA],"LCC")</f>
        <v>68</v>
      </c>
      <c r="I141" s="23">
        <f>H141/(H141+H142)</f>
        <v>0.53125</v>
      </c>
      <c r="X141" s="116">
        <f>+X140/W138</f>
        <v>855.42094861660098</v>
      </c>
      <c r="Y141" s="117" t="s">
        <v>82</v>
      </c>
      <c r="AF141" s="35"/>
      <c r="AG141" s="35"/>
      <c r="AH141" s="35"/>
      <c r="AK141" s="63">
        <f>SUM(AK136:AK140)</f>
        <v>92.8</v>
      </c>
    </row>
    <row r="142" spans="1:40" x14ac:dyDescent="0.25">
      <c r="A142" s="4">
        <v>10</v>
      </c>
      <c r="C142" s="20" t="s">
        <v>46</v>
      </c>
      <c r="D142" s="4">
        <f>COUNTIF(DONNEES[DEP
REC],"R")</f>
        <v>45</v>
      </c>
      <c r="E142" s="23">
        <f>D142/(D141+D142)</f>
        <v>0.3543307086614173</v>
      </c>
      <c r="G142" s="20" t="s">
        <v>39</v>
      </c>
      <c r="H142" s="4">
        <f>COUNTIF(DONNEES[RESA],"BK")</f>
        <v>60</v>
      </c>
      <c r="I142" s="23">
        <f>H142/(H141+H142)</f>
        <v>0.46875</v>
      </c>
      <c r="AD142" s="104"/>
      <c r="AJ142" s="3"/>
      <c r="AL142" s="3"/>
    </row>
    <row r="143" spans="1:40" x14ac:dyDescent="0.25">
      <c r="A143" s="4">
        <v>11</v>
      </c>
      <c r="D143" s="24">
        <f>SUM(D141:D142)</f>
        <v>127</v>
      </c>
      <c r="H143" s="24">
        <f>SUM(H141:H142)</f>
        <v>128</v>
      </c>
      <c r="N143" s="20" t="s">
        <v>74</v>
      </c>
      <c r="O143" s="66">
        <v>30</v>
      </c>
      <c r="X143" s="3">
        <v>49443</v>
      </c>
      <c r="AJ143" s="3"/>
    </row>
    <row r="144" spans="1:40" x14ac:dyDescent="0.25">
      <c r="A144" s="4">
        <v>12</v>
      </c>
      <c r="J144" s="61"/>
      <c r="K144" s="18"/>
      <c r="N144" s="20" t="s">
        <v>77</v>
      </c>
      <c r="O144" s="20">
        <v>14</v>
      </c>
      <c r="AJ144" s="3"/>
    </row>
    <row r="145" spans="1:38" x14ac:dyDescent="0.25">
      <c r="A145" s="4">
        <v>13</v>
      </c>
      <c r="J145" s="60"/>
      <c r="K145" s="18"/>
      <c r="N145" s="20" t="s">
        <v>75</v>
      </c>
      <c r="O145" s="28">
        <f>O143*O144</f>
        <v>420</v>
      </c>
      <c r="AJ145" s="20"/>
      <c r="AL145" s="76"/>
    </row>
    <row r="146" spans="1:38" x14ac:dyDescent="0.25">
      <c r="A146" s="4">
        <v>14</v>
      </c>
      <c r="J146" s="60"/>
      <c r="K146" s="18"/>
      <c r="N146" s="20" t="s">
        <v>73</v>
      </c>
      <c r="O146" s="69">
        <f>+DONNEES[[#Totals],[RESA]]</f>
        <v>128</v>
      </c>
      <c r="R146" s="3">
        <v>279</v>
      </c>
      <c r="S146" s="3">
        <f>R146/(16*30)</f>
        <v>0.58125000000000004</v>
      </c>
      <c r="T146" s="3">
        <f>R146/(14*30)</f>
        <v>0.66428571428571426</v>
      </c>
      <c r="AA146">
        <f>545.4-381</f>
        <v>164.39999999999998</v>
      </c>
    </row>
    <row r="147" spans="1:38" x14ac:dyDescent="0.25">
      <c r="A147" s="4">
        <v>15</v>
      </c>
      <c r="J147" s="60"/>
      <c r="K147" s="18"/>
      <c r="N147" s="28" t="s">
        <v>72</v>
      </c>
      <c r="O147" s="67">
        <f>O146/O145</f>
        <v>0.30476190476190479</v>
      </c>
      <c r="P147" s="70">
        <f>DONNEES[[#Totals],[RESA]]/(W139*16)</f>
        <v>0.34782608695652173</v>
      </c>
      <c r="R147" s="3">
        <v>175.98</v>
      </c>
    </row>
    <row r="148" spans="1:38" x14ac:dyDescent="0.25">
      <c r="A148" s="4">
        <v>16</v>
      </c>
      <c r="J148" s="60">
        <v>265</v>
      </c>
      <c r="K148" s="18"/>
      <c r="N148" s="28" t="s">
        <v>76</v>
      </c>
      <c r="O148" s="68">
        <f>DONNEES[[#Totals],[CH]]</f>
        <v>168.18425196850393</v>
      </c>
    </row>
    <row r="149" spans="1:38" x14ac:dyDescent="0.25">
      <c r="J149" s="60">
        <f>30*16</f>
        <v>480</v>
      </c>
      <c r="K149" s="18"/>
      <c r="N149" s="20" t="s">
        <v>83</v>
      </c>
      <c r="O149" s="74">
        <f>O146*O148/1.1</f>
        <v>19570.531138153183</v>
      </c>
    </row>
    <row r="150" spans="1:38" x14ac:dyDescent="0.25">
      <c r="J150" s="105">
        <f>J148/J149</f>
        <v>0.55208333333333337</v>
      </c>
      <c r="K150" s="18"/>
      <c r="N150" s="20" t="s">
        <v>84</v>
      </c>
      <c r="O150" s="75">
        <f>DONNEES[[#Totals],[NB PDJ]]*12/1.1</f>
        <v>763.63636363636363</v>
      </c>
      <c r="AA150">
        <f>1120.8-381</f>
        <v>739.8</v>
      </c>
    </row>
    <row r="151" spans="1:38" x14ac:dyDescent="0.25">
      <c r="J151" s="60"/>
      <c r="K151" s="18"/>
      <c r="N151" s="20" t="s">
        <v>85</v>
      </c>
      <c r="O151" s="75">
        <f>DONNEES[[#Totals],[PARK]]*15/1.2</f>
        <v>325</v>
      </c>
    </row>
    <row r="152" spans="1:38" x14ac:dyDescent="0.25">
      <c r="J152" s="60"/>
      <c r="K152" s="18"/>
      <c r="N152" s="20" t="s">
        <v>86</v>
      </c>
      <c r="O152" s="74">
        <f>DONNEES[[#Totals],[EXTRA]]/1.12</f>
        <v>124.10714285714285</v>
      </c>
    </row>
    <row r="153" spans="1:38" x14ac:dyDescent="0.25">
      <c r="J153" s="60"/>
      <c r="K153" s="18"/>
      <c r="N153" s="28" t="s">
        <v>87</v>
      </c>
      <c r="O153" s="75">
        <f>SUM(O149:O152)</f>
        <v>20783.274644646688</v>
      </c>
    </row>
    <row r="154" spans="1:38" x14ac:dyDescent="0.25">
      <c r="J154" s="60"/>
      <c r="K154" s="18"/>
    </row>
    <row r="155" spans="1:38" x14ac:dyDescent="0.25">
      <c r="J155" s="60"/>
      <c r="K155" s="18"/>
    </row>
    <row r="156" spans="1:38" x14ac:dyDescent="0.25">
      <c r="J156" s="60"/>
      <c r="K156" s="18"/>
    </row>
    <row r="157" spans="1:38" x14ac:dyDescent="0.25">
      <c r="J157" s="60"/>
      <c r="K157" s="18"/>
    </row>
    <row r="158" spans="1:38" x14ac:dyDescent="0.25">
      <c r="J158" s="60"/>
      <c r="K158" s="18"/>
    </row>
    <row r="159" spans="1:38" x14ac:dyDescent="0.25">
      <c r="J159" s="60"/>
      <c r="K159" s="18"/>
    </row>
    <row r="160" spans="1:38" x14ac:dyDescent="0.25">
      <c r="J160" s="60"/>
    </row>
    <row r="161" spans="10:10" x14ac:dyDescent="0.25">
      <c r="J161" s="60"/>
    </row>
  </sheetData>
  <dataConsolidate function="average">
    <dataRefs count="2">
      <dataRef ref="E3:E649" sheet="SAISIE"/>
      <dataRef ref="I3:I649" sheet="SAISIE"/>
    </dataRefs>
  </dataConsolidate>
  <mergeCells count="2">
    <mergeCell ref="I138:L138"/>
    <mergeCell ref="AJ134:AK134"/>
  </mergeCells>
  <conditionalFormatting sqref="AN4:AN133">
    <cfRule type="cellIs" dxfId="50" priority="5" operator="equal">
      <formula>0</formula>
    </cfRule>
  </conditionalFormatting>
  <printOptions horizontalCentered="1"/>
  <pageMargins left="0.19685039370078741" right="0.19685039370078741" top="0.59055118110236227" bottom="0.39370078740157483" header="0" footer="0"/>
  <pageSetup paperSize="9" scale="29" fitToHeight="3" orientation="portrait" r:id="rId1"/>
  <headerFooter>
    <oddHeader>&amp;L&amp;"Arial,Gras"&amp;12HOTEL LA COUR CARREE
ENCAISSEMENTS : NOVEMBRE 2022</oddHeader>
    <oddFooter>&amp;R&amp;"Arial,Normal"&amp;8&amp;P/&amp;N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7A156-3BAA-4A2A-9CBB-0CB267408A21}">
  <dimension ref="B2:P61"/>
  <sheetViews>
    <sheetView showGridLines="0" tabSelected="1" workbookViewId="0">
      <selection activeCell="I5" sqref="I5"/>
    </sheetView>
  </sheetViews>
  <sheetFormatPr baseColWidth="10" defaultRowHeight="12.6" x14ac:dyDescent="0.25"/>
  <cols>
    <col min="1" max="1" width="3.77734375" customWidth="1"/>
    <col min="2" max="2" width="14" bestFit="1" customWidth="1"/>
    <col min="3" max="3" width="12.77734375" bestFit="1" customWidth="1"/>
    <col min="4" max="4" width="10.21875" bestFit="1" customWidth="1"/>
    <col min="5" max="5" width="12" bestFit="1" customWidth="1"/>
    <col min="6" max="6" width="9.88671875" bestFit="1" customWidth="1"/>
    <col min="7" max="7" width="11.88671875" bestFit="1" customWidth="1"/>
    <col min="8" max="8" width="10.5546875" bestFit="1" customWidth="1"/>
    <col min="9" max="9" width="12.21875" bestFit="1" customWidth="1"/>
    <col min="10" max="10" width="9.88671875" bestFit="1" customWidth="1"/>
    <col min="11" max="11" width="11" bestFit="1" customWidth="1"/>
    <col min="12" max="13" width="11.6640625" bestFit="1" customWidth="1"/>
    <col min="14" max="14" width="13.5546875" bestFit="1" customWidth="1"/>
    <col min="15" max="15" width="12" bestFit="1" customWidth="1"/>
    <col min="16" max="16" width="14.6640625" bestFit="1" customWidth="1"/>
  </cols>
  <sheetData>
    <row r="2" spans="2:16" s="2" customFormat="1" ht="24.6" x14ac:dyDescent="0.25">
      <c r="B2" s="133" t="s">
        <v>2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</row>
    <row r="3" spans="2:16" s="2" customFormat="1" ht="33" x14ac:dyDescent="0.25">
      <c r="B3" s="134" t="s">
        <v>93</v>
      </c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</row>
    <row r="5" spans="2:16" x14ac:dyDescent="0.25">
      <c r="B5" s="130" t="s">
        <v>168</v>
      </c>
      <c r="C5" s="131">
        <f>_Annee</f>
        <v>2021</v>
      </c>
    </row>
    <row r="6" spans="2:16" x14ac:dyDescent="0.25">
      <c r="B6" s="130" t="s">
        <v>169</v>
      </c>
      <c r="C6" s="132" t="str">
        <f>_Mois</f>
        <v>décembre</v>
      </c>
    </row>
    <row r="9" spans="2:16" x14ac:dyDescent="0.25">
      <c r="B9" s="31" t="s">
        <v>179</v>
      </c>
      <c r="C9" s="31" t="s">
        <v>180</v>
      </c>
      <c r="D9" s="31" t="s">
        <v>181</v>
      </c>
      <c r="E9" s="31" t="s">
        <v>182</v>
      </c>
      <c r="F9" s="31" t="s">
        <v>183</v>
      </c>
      <c r="G9" s="31" t="s">
        <v>184</v>
      </c>
      <c r="H9" s="31" t="s">
        <v>185</v>
      </c>
      <c r="I9" s="31" t="s">
        <v>186</v>
      </c>
      <c r="J9" s="31" t="s">
        <v>187</v>
      </c>
      <c r="K9" s="31" t="s">
        <v>188</v>
      </c>
      <c r="L9" s="31" t="s">
        <v>54</v>
      </c>
      <c r="M9" s="31" t="s">
        <v>55</v>
      </c>
      <c r="N9" s="31" t="s">
        <v>189</v>
      </c>
      <c r="O9" s="31" t="s">
        <v>190</v>
      </c>
      <c r="P9" s="31" t="s">
        <v>191</v>
      </c>
    </row>
    <row r="10" spans="2:16" x14ac:dyDescent="0.25">
      <c r="B10" s="128">
        <v>44531</v>
      </c>
      <c r="C10" s="129">
        <v>0</v>
      </c>
      <c r="D10" s="129">
        <v>0</v>
      </c>
      <c r="E10" s="129">
        <v>0</v>
      </c>
      <c r="F10" s="129">
        <v>0</v>
      </c>
      <c r="G10" s="129">
        <v>0</v>
      </c>
      <c r="H10" s="129">
        <v>0</v>
      </c>
      <c r="I10" s="129">
        <v>0</v>
      </c>
      <c r="J10" s="129">
        <v>0</v>
      </c>
      <c r="K10" s="129">
        <v>0</v>
      </c>
      <c r="L10" s="129">
        <v>0</v>
      </c>
      <c r="M10" s="129">
        <v>0</v>
      </c>
      <c r="N10" s="129">
        <v>0</v>
      </c>
      <c r="O10" s="129">
        <v>0</v>
      </c>
      <c r="P10" s="129">
        <v>0</v>
      </c>
    </row>
    <row r="11" spans="2:16" x14ac:dyDescent="0.25">
      <c r="B11" s="128">
        <v>44558</v>
      </c>
      <c r="C11" s="129">
        <v>119</v>
      </c>
      <c r="D11" s="129">
        <v>21.82</v>
      </c>
      <c r="E11" s="129">
        <v>0</v>
      </c>
      <c r="F11" s="129">
        <v>0</v>
      </c>
      <c r="G11" s="129">
        <v>0</v>
      </c>
      <c r="H11" s="129">
        <v>0</v>
      </c>
      <c r="I11" s="129">
        <v>0</v>
      </c>
      <c r="J11" s="129">
        <v>0</v>
      </c>
      <c r="K11" s="129">
        <v>140.82</v>
      </c>
      <c r="L11" s="129">
        <v>14.08</v>
      </c>
      <c r="M11" s="129">
        <v>0</v>
      </c>
      <c r="N11" s="129">
        <v>0.9</v>
      </c>
      <c r="O11" s="129">
        <v>154.9</v>
      </c>
      <c r="P11" s="129">
        <v>155.80000000000001</v>
      </c>
    </row>
    <row r="12" spans="2:16" x14ac:dyDescent="0.25">
      <c r="B12" s="128">
        <v>44558</v>
      </c>
      <c r="C12" s="129">
        <v>0</v>
      </c>
      <c r="D12" s="129">
        <v>0</v>
      </c>
      <c r="E12" s="129">
        <v>0</v>
      </c>
      <c r="F12" s="129">
        <v>0</v>
      </c>
      <c r="G12" s="129">
        <v>0</v>
      </c>
      <c r="H12" s="129">
        <v>0</v>
      </c>
      <c r="I12" s="129">
        <v>0</v>
      </c>
      <c r="J12" s="129">
        <v>0</v>
      </c>
      <c r="K12" s="129">
        <v>0</v>
      </c>
      <c r="L12" s="129">
        <v>0</v>
      </c>
      <c r="M12" s="129">
        <v>0</v>
      </c>
      <c r="N12" s="129">
        <v>0</v>
      </c>
      <c r="O12" s="129">
        <v>0</v>
      </c>
      <c r="P12" s="129">
        <v>0</v>
      </c>
    </row>
    <row r="13" spans="2:16" x14ac:dyDescent="0.25">
      <c r="B13" s="128">
        <v>44558</v>
      </c>
      <c r="C13" s="129">
        <v>0</v>
      </c>
      <c r="D13" s="129">
        <v>0</v>
      </c>
      <c r="E13" s="129">
        <v>0</v>
      </c>
      <c r="F13" s="129">
        <v>0</v>
      </c>
      <c r="G13" s="129">
        <v>0</v>
      </c>
      <c r="H13" s="129">
        <v>0</v>
      </c>
      <c r="I13" s="129">
        <v>0</v>
      </c>
      <c r="J13" s="129">
        <v>0</v>
      </c>
      <c r="K13" s="129">
        <v>0</v>
      </c>
      <c r="L13" s="129">
        <v>0</v>
      </c>
      <c r="M13" s="129">
        <v>0</v>
      </c>
      <c r="N13" s="129">
        <v>0</v>
      </c>
      <c r="O13" s="129">
        <v>0</v>
      </c>
      <c r="P13" s="129">
        <v>0</v>
      </c>
    </row>
    <row r="14" spans="2:16" x14ac:dyDescent="0.25">
      <c r="B14" s="128">
        <v>44558</v>
      </c>
      <c r="C14" s="129">
        <v>0</v>
      </c>
      <c r="D14" s="129">
        <v>0</v>
      </c>
      <c r="E14" s="129">
        <v>0</v>
      </c>
      <c r="F14" s="129">
        <v>0</v>
      </c>
      <c r="G14" s="129">
        <v>0</v>
      </c>
      <c r="H14" s="129">
        <v>0</v>
      </c>
      <c r="I14" s="129">
        <v>0</v>
      </c>
      <c r="J14" s="129">
        <v>0</v>
      </c>
      <c r="K14" s="129">
        <v>0</v>
      </c>
      <c r="L14" s="129">
        <v>0</v>
      </c>
      <c r="M14" s="129">
        <v>0</v>
      </c>
      <c r="N14" s="129">
        <v>0</v>
      </c>
      <c r="O14" s="129">
        <v>0</v>
      </c>
      <c r="P14" s="129">
        <v>0</v>
      </c>
    </row>
    <row r="15" spans="2:16" x14ac:dyDescent="0.25">
      <c r="B15" s="128">
        <v>44558</v>
      </c>
      <c r="C15" s="129">
        <v>0</v>
      </c>
      <c r="D15" s="129">
        <v>0</v>
      </c>
      <c r="E15" s="129">
        <v>0</v>
      </c>
      <c r="F15" s="129">
        <v>0</v>
      </c>
      <c r="G15" s="129">
        <v>0</v>
      </c>
      <c r="H15" s="129">
        <v>0</v>
      </c>
      <c r="I15" s="129">
        <v>0</v>
      </c>
      <c r="J15" s="129">
        <v>0</v>
      </c>
      <c r="K15" s="129">
        <v>0</v>
      </c>
      <c r="L15" s="129">
        <v>0</v>
      </c>
      <c r="M15" s="129">
        <v>0</v>
      </c>
      <c r="N15" s="129">
        <v>0</v>
      </c>
      <c r="O15" s="129">
        <v>0</v>
      </c>
      <c r="P15" s="129">
        <v>0</v>
      </c>
    </row>
    <row r="16" spans="2:16" x14ac:dyDescent="0.25">
      <c r="B16" s="128">
        <v>44558</v>
      </c>
      <c r="C16" s="129">
        <v>0</v>
      </c>
      <c r="D16" s="129">
        <v>0</v>
      </c>
      <c r="E16" s="129">
        <v>0</v>
      </c>
      <c r="F16" s="129">
        <v>0</v>
      </c>
      <c r="G16" s="129">
        <v>0</v>
      </c>
      <c r="H16" s="129">
        <v>0</v>
      </c>
      <c r="I16" s="129">
        <v>0</v>
      </c>
      <c r="J16" s="129">
        <v>0</v>
      </c>
      <c r="K16" s="129">
        <v>0</v>
      </c>
      <c r="L16" s="129">
        <v>0</v>
      </c>
      <c r="M16" s="129">
        <v>0</v>
      </c>
      <c r="N16" s="129">
        <v>0</v>
      </c>
      <c r="O16" s="129">
        <v>0</v>
      </c>
      <c r="P16" s="129">
        <v>0</v>
      </c>
    </row>
    <row r="17" spans="2:16" x14ac:dyDescent="0.25">
      <c r="B17" s="128">
        <v>44558</v>
      </c>
      <c r="C17" s="129">
        <v>0</v>
      </c>
      <c r="D17" s="129">
        <v>0</v>
      </c>
      <c r="E17" s="129">
        <v>0</v>
      </c>
      <c r="F17" s="129">
        <v>0</v>
      </c>
      <c r="G17" s="129">
        <v>0</v>
      </c>
      <c r="H17" s="129">
        <v>0</v>
      </c>
      <c r="I17" s="129">
        <v>0</v>
      </c>
      <c r="J17" s="129">
        <v>0</v>
      </c>
      <c r="K17" s="129">
        <v>0</v>
      </c>
      <c r="L17" s="129">
        <v>0</v>
      </c>
      <c r="M17" s="129">
        <v>0</v>
      </c>
      <c r="N17" s="129">
        <v>0</v>
      </c>
      <c r="O17" s="129">
        <v>0</v>
      </c>
      <c r="P17" s="129">
        <v>0</v>
      </c>
    </row>
    <row r="18" spans="2:16" x14ac:dyDescent="0.25">
      <c r="B18" s="128">
        <v>44558</v>
      </c>
      <c r="C18" s="129">
        <v>0</v>
      </c>
      <c r="D18" s="129">
        <v>0</v>
      </c>
      <c r="E18" s="129">
        <v>0</v>
      </c>
      <c r="F18" s="129">
        <v>0</v>
      </c>
      <c r="G18" s="129">
        <v>0</v>
      </c>
      <c r="H18" s="129">
        <v>0</v>
      </c>
      <c r="I18" s="129">
        <v>0</v>
      </c>
      <c r="J18" s="129">
        <v>0</v>
      </c>
      <c r="K18" s="129">
        <v>0</v>
      </c>
      <c r="L18" s="129">
        <v>0</v>
      </c>
      <c r="M18" s="129">
        <v>0</v>
      </c>
      <c r="N18" s="129">
        <v>0</v>
      </c>
      <c r="O18" s="129">
        <v>0</v>
      </c>
      <c r="P18" s="129">
        <v>0</v>
      </c>
    </row>
    <row r="19" spans="2:16" x14ac:dyDescent="0.25">
      <c r="B19" s="128">
        <v>44558</v>
      </c>
      <c r="C19" s="129">
        <v>0</v>
      </c>
      <c r="D19" s="129">
        <v>0</v>
      </c>
      <c r="E19" s="129">
        <v>0</v>
      </c>
      <c r="F19" s="129">
        <v>0</v>
      </c>
      <c r="G19" s="129">
        <v>0</v>
      </c>
      <c r="H19" s="129">
        <v>0</v>
      </c>
      <c r="I19" s="129">
        <v>0</v>
      </c>
      <c r="J19" s="129">
        <v>0</v>
      </c>
      <c r="K19" s="129">
        <v>0</v>
      </c>
      <c r="L19" s="129">
        <v>0</v>
      </c>
      <c r="M19" s="129">
        <v>0</v>
      </c>
      <c r="N19" s="129">
        <v>0</v>
      </c>
      <c r="O19" s="129">
        <v>0</v>
      </c>
      <c r="P19" s="129">
        <v>0</v>
      </c>
    </row>
    <row r="20" spans="2:16" x14ac:dyDescent="0.25">
      <c r="B20" s="128">
        <v>44532</v>
      </c>
      <c r="C20" s="129">
        <v>0</v>
      </c>
      <c r="D20" s="129">
        <v>0</v>
      </c>
      <c r="E20" s="129">
        <v>0</v>
      </c>
      <c r="F20" s="129">
        <v>0</v>
      </c>
      <c r="G20" s="129">
        <v>0</v>
      </c>
      <c r="H20" s="129">
        <v>0</v>
      </c>
      <c r="I20" s="129">
        <v>0</v>
      </c>
      <c r="J20" s="129">
        <v>0</v>
      </c>
      <c r="K20" s="129">
        <v>0</v>
      </c>
      <c r="L20" s="129">
        <v>0</v>
      </c>
      <c r="M20" s="129">
        <v>0</v>
      </c>
      <c r="N20" s="129">
        <v>0</v>
      </c>
      <c r="O20" s="129">
        <v>0</v>
      </c>
      <c r="P20" s="129">
        <v>0</v>
      </c>
    </row>
    <row r="21" spans="2:16" x14ac:dyDescent="0.25">
      <c r="B21" s="128">
        <v>44533</v>
      </c>
      <c r="C21" s="129">
        <v>0</v>
      </c>
      <c r="D21" s="129">
        <v>0</v>
      </c>
      <c r="E21" s="129">
        <v>0</v>
      </c>
      <c r="F21" s="129">
        <v>0</v>
      </c>
      <c r="G21" s="129">
        <v>0</v>
      </c>
      <c r="H21" s="129">
        <v>0</v>
      </c>
      <c r="I21" s="129">
        <v>0</v>
      </c>
      <c r="J21" s="129">
        <v>0</v>
      </c>
      <c r="K21" s="129">
        <v>0</v>
      </c>
      <c r="L21" s="129">
        <v>0</v>
      </c>
      <c r="M21" s="129">
        <v>0</v>
      </c>
      <c r="N21" s="129">
        <v>0</v>
      </c>
      <c r="O21" s="129">
        <v>0</v>
      </c>
      <c r="P21" s="129">
        <v>0</v>
      </c>
    </row>
    <row r="22" spans="2:16" x14ac:dyDescent="0.25">
      <c r="B22" s="128">
        <v>44534</v>
      </c>
      <c r="C22" s="129">
        <v>0</v>
      </c>
      <c r="D22" s="129">
        <v>0</v>
      </c>
      <c r="E22" s="129">
        <v>0</v>
      </c>
      <c r="F22" s="129">
        <v>0</v>
      </c>
      <c r="G22" s="129">
        <v>0</v>
      </c>
      <c r="H22" s="129">
        <v>0</v>
      </c>
      <c r="I22" s="129">
        <v>0</v>
      </c>
      <c r="J22" s="129">
        <v>0</v>
      </c>
      <c r="K22" s="129">
        <v>0</v>
      </c>
      <c r="L22" s="129">
        <v>0</v>
      </c>
      <c r="M22" s="129">
        <v>0</v>
      </c>
      <c r="N22" s="129">
        <v>0</v>
      </c>
      <c r="O22" s="129">
        <v>0</v>
      </c>
      <c r="P22" s="129">
        <v>0</v>
      </c>
    </row>
    <row r="23" spans="2:16" x14ac:dyDescent="0.25">
      <c r="B23" s="128">
        <v>44535</v>
      </c>
      <c r="C23" s="129">
        <v>0</v>
      </c>
      <c r="D23" s="129">
        <v>0</v>
      </c>
      <c r="E23" s="129">
        <v>0</v>
      </c>
      <c r="F23" s="129">
        <v>0</v>
      </c>
      <c r="G23" s="129">
        <v>0</v>
      </c>
      <c r="H23" s="129">
        <v>0</v>
      </c>
      <c r="I23" s="129">
        <v>0</v>
      </c>
      <c r="J23" s="129">
        <v>0</v>
      </c>
      <c r="K23" s="129">
        <v>0</v>
      </c>
      <c r="L23" s="129">
        <v>0</v>
      </c>
      <c r="M23" s="129">
        <v>0</v>
      </c>
      <c r="N23" s="129">
        <v>0</v>
      </c>
      <c r="O23" s="129">
        <v>0</v>
      </c>
      <c r="P23" s="129">
        <v>0</v>
      </c>
    </row>
    <row r="24" spans="2:16" x14ac:dyDescent="0.25">
      <c r="B24" s="128">
        <v>44536</v>
      </c>
      <c r="C24" s="129">
        <v>0</v>
      </c>
      <c r="D24" s="129">
        <v>0</v>
      </c>
      <c r="E24" s="129">
        <v>0</v>
      </c>
      <c r="F24" s="129">
        <v>0</v>
      </c>
      <c r="G24" s="129">
        <v>0</v>
      </c>
      <c r="H24" s="129">
        <v>0</v>
      </c>
      <c r="I24" s="129">
        <v>0</v>
      </c>
      <c r="J24" s="129">
        <v>0</v>
      </c>
      <c r="K24" s="129">
        <v>0</v>
      </c>
      <c r="L24" s="129">
        <v>0</v>
      </c>
      <c r="M24" s="129">
        <v>0</v>
      </c>
      <c r="N24" s="129">
        <v>0</v>
      </c>
      <c r="O24" s="129">
        <v>0</v>
      </c>
      <c r="P24" s="129">
        <v>0</v>
      </c>
    </row>
    <row r="25" spans="2:16" x14ac:dyDescent="0.25">
      <c r="B25" s="128">
        <v>44537</v>
      </c>
      <c r="C25" s="129">
        <v>0</v>
      </c>
      <c r="D25" s="129">
        <v>0</v>
      </c>
      <c r="E25" s="129">
        <v>0</v>
      </c>
      <c r="F25" s="129">
        <v>0</v>
      </c>
      <c r="G25" s="129">
        <v>0</v>
      </c>
      <c r="H25" s="129">
        <v>0</v>
      </c>
      <c r="I25" s="129">
        <v>0</v>
      </c>
      <c r="J25" s="129">
        <v>0</v>
      </c>
      <c r="K25" s="129">
        <v>0</v>
      </c>
      <c r="L25" s="129">
        <v>0</v>
      </c>
      <c r="M25" s="129">
        <v>0</v>
      </c>
      <c r="N25" s="129">
        <v>0</v>
      </c>
      <c r="O25" s="129">
        <v>0</v>
      </c>
      <c r="P25" s="129">
        <v>0</v>
      </c>
    </row>
    <row r="26" spans="2:16" x14ac:dyDescent="0.25">
      <c r="B26" s="128">
        <v>44538</v>
      </c>
      <c r="C26" s="129">
        <v>0</v>
      </c>
      <c r="D26" s="129">
        <v>0</v>
      </c>
      <c r="E26" s="129">
        <v>0</v>
      </c>
      <c r="F26" s="129">
        <v>0</v>
      </c>
      <c r="G26" s="129">
        <v>0</v>
      </c>
      <c r="H26" s="129">
        <v>0</v>
      </c>
      <c r="I26" s="129">
        <v>0</v>
      </c>
      <c r="J26" s="129">
        <v>0</v>
      </c>
      <c r="K26" s="129">
        <v>0</v>
      </c>
      <c r="L26" s="129">
        <v>0</v>
      </c>
      <c r="M26" s="129">
        <v>0</v>
      </c>
      <c r="N26" s="129">
        <v>0</v>
      </c>
      <c r="O26" s="129">
        <v>0</v>
      </c>
      <c r="P26" s="129">
        <v>0</v>
      </c>
    </row>
    <row r="27" spans="2:16" x14ac:dyDescent="0.25">
      <c r="B27" s="128">
        <v>44539</v>
      </c>
      <c r="C27" s="129">
        <v>0</v>
      </c>
      <c r="D27" s="129">
        <v>0</v>
      </c>
      <c r="E27" s="129">
        <v>0</v>
      </c>
      <c r="F27" s="129">
        <v>0</v>
      </c>
      <c r="G27" s="129">
        <v>0</v>
      </c>
      <c r="H27" s="129">
        <v>0</v>
      </c>
      <c r="I27" s="129">
        <v>0</v>
      </c>
      <c r="J27" s="129">
        <v>0</v>
      </c>
      <c r="K27" s="129">
        <v>0</v>
      </c>
      <c r="L27" s="129">
        <v>0</v>
      </c>
      <c r="M27" s="129">
        <v>0</v>
      </c>
      <c r="N27" s="129">
        <v>0</v>
      </c>
      <c r="O27" s="129">
        <v>0</v>
      </c>
      <c r="P27" s="129">
        <v>0</v>
      </c>
    </row>
    <row r="28" spans="2:16" x14ac:dyDescent="0.25">
      <c r="B28" s="128">
        <v>44540</v>
      </c>
      <c r="C28" s="129">
        <v>0</v>
      </c>
      <c r="D28" s="129">
        <v>0</v>
      </c>
      <c r="E28" s="129">
        <v>0</v>
      </c>
      <c r="F28" s="129">
        <v>0</v>
      </c>
      <c r="G28" s="129">
        <v>0</v>
      </c>
      <c r="H28" s="129">
        <v>0</v>
      </c>
      <c r="I28" s="129">
        <v>0</v>
      </c>
      <c r="J28" s="129">
        <v>0</v>
      </c>
      <c r="K28" s="129">
        <v>0</v>
      </c>
      <c r="L28" s="129">
        <v>0</v>
      </c>
      <c r="M28" s="129">
        <v>0</v>
      </c>
      <c r="N28" s="129">
        <v>0</v>
      </c>
      <c r="O28" s="129">
        <v>0</v>
      </c>
      <c r="P28" s="129">
        <v>0</v>
      </c>
    </row>
    <row r="29" spans="2:16" x14ac:dyDescent="0.25">
      <c r="B29" s="128">
        <v>44559</v>
      </c>
      <c r="C29" s="129">
        <v>212.73</v>
      </c>
      <c r="D29" s="129">
        <v>0</v>
      </c>
      <c r="E29" s="129">
        <v>0</v>
      </c>
      <c r="F29" s="129">
        <v>0</v>
      </c>
      <c r="G29" s="129">
        <v>0</v>
      </c>
      <c r="H29" s="129">
        <v>0</v>
      </c>
      <c r="I29" s="129">
        <v>0</v>
      </c>
      <c r="J29" s="129">
        <v>0</v>
      </c>
      <c r="K29" s="129">
        <v>212.73</v>
      </c>
      <c r="L29" s="129">
        <v>21.27</v>
      </c>
      <c r="M29" s="129">
        <v>0</v>
      </c>
      <c r="N29" s="129">
        <v>0</v>
      </c>
      <c r="O29" s="129">
        <v>234</v>
      </c>
      <c r="P29" s="129">
        <v>234</v>
      </c>
    </row>
    <row r="30" spans="2:16" x14ac:dyDescent="0.25">
      <c r="B30" s="128">
        <v>44559</v>
      </c>
      <c r="C30" s="129">
        <v>135</v>
      </c>
      <c r="D30" s="129">
        <v>21.82</v>
      </c>
      <c r="E30" s="129">
        <v>0</v>
      </c>
      <c r="F30" s="129">
        <v>0</v>
      </c>
      <c r="G30" s="129">
        <v>0</v>
      </c>
      <c r="H30" s="129">
        <v>0</v>
      </c>
      <c r="I30" s="129">
        <v>0</v>
      </c>
      <c r="J30" s="129">
        <v>0</v>
      </c>
      <c r="K30" s="129">
        <v>156.82</v>
      </c>
      <c r="L30" s="129">
        <v>15.68</v>
      </c>
      <c r="M30" s="129">
        <v>0</v>
      </c>
      <c r="N30" s="129">
        <v>0.9</v>
      </c>
      <c r="O30" s="129">
        <v>172.5</v>
      </c>
      <c r="P30" s="129">
        <v>173.4</v>
      </c>
    </row>
    <row r="31" spans="2:16" x14ac:dyDescent="0.25">
      <c r="B31" s="128">
        <v>44559</v>
      </c>
      <c r="C31" s="129">
        <v>265.08999999999997</v>
      </c>
      <c r="D31" s="129">
        <v>0</v>
      </c>
      <c r="E31" s="129">
        <v>0</v>
      </c>
      <c r="F31" s="129">
        <v>0</v>
      </c>
      <c r="G31" s="129">
        <v>0</v>
      </c>
      <c r="H31" s="129">
        <v>0</v>
      </c>
      <c r="I31" s="129">
        <v>0</v>
      </c>
      <c r="J31" s="129">
        <v>0</v>
      </c>
      <c r="K31" s="129">
        <v>265.08999999999997</v>
      </c>
      <c r="L31" s="129">
        <v>26.51</v>
      </c>
      <c r="M31" s="129">
        <v>0</v>
      </c>
      <c r="N31" s="129">
        <v>1.8</v>
      </c>
      <c r="O31" s="129">
        <v>291.59999999999997</v>
      </c>
      <c r="P31" s="129">
        <v>293.39999999999998</v>
      </c>
    </row>
    <row r="32" spans="2:16" x14ac:dyDescent="0.25">
      <c r="B32" s="128">
        <v>44559</v>
      </c>
      <c r="C32" s="129">
        <v>315.27</v>
      </c>
      <c r="D32" s="129">
        <v>43.64</v>
      </c>
      <c r="E32" s="129">
        <v>0</v>
      </c>
      <c r="F32" s="129">
        <v>0</v>
      </c>
      <c r="G32" s="129">
        <v>0</v>
      </c>
      <c r="H32" s="129">
        <v>0</v>
      </c>
      <c r="I32" s="129">
        <v>0</v>
      </c>
      <c r="J32" s="129">
        <v>0</v>
      </c>
      <c r="K32" s="129">
        <v>358.90999999999997</v>
      </c>
      <c r="L32" s="129">
        <v>35.89</v>
      </c>
      <c r="M32" s="129">
        <v>0</v>
      </c>
      <c r="N32" s="129">
        <v>1.8</v>
      </c>
      <c r="O32" s="129">
        <v>394.79999999999995</v>
      </c>
      <c r="P32" s="129">
        <v>396.59999999999997</v>
      </c>
    </row>
    <row r="33" spans="2:16" x14ac:dyDescent="0.25">
      <c r="B33" s="128">
        <v>44559</v>
      </c>
      <c r="C33" s="129">
        <v>155.36000000000001</v>
      </c>
      <c r="D33" s="129">
        <v>0</v>
      </c>
      <c r="E33" s="129">
        <v>0</v>
      </c>
      <c r="F33" s="129">
        <v>0</v>
      </c>
      <c r="G33" s="129">
        <v>0</v>
      </c>
      <c r="H33" s="129">
        <v>0</v>
      </c>
      <c r="I33" s="129">
        <v>0</v>
      </c>
      <c r="J33" s="129">
        <v>0</v>
      </c>
      <c r="K33" s="129">
        <v>155.36000000000001</v>
      </c>
      <c r="L33" s="129">
        <v>15.54</v>
      </c>
      <c r="M33" s="129">
        <v>0</v>
      </c>
      <c r="N33" s="129">
        <v>0.9</v>
      </c>
      <c r="O33" s="129">
        <v>170.9</v>
      </c>
      <c r="P33" s="129">
        <v>171.8</v>
      </c>
    </row>
    <row r="34" spans="2:16" x14ac:dyDescent="0.25">
      <c r="B34" s="128">
        <v>44559</v>
      </c>
      <c r="C34" s="129">
        <v>237.27</v>
      </c>
      <c r="D34" s="129">
        <v>0</v>
      </c>
      <c r="E34" s="129">
        <v>0</v>
      </c>
      <c r="F34" s="129">
        <v>0</v>
      </c>
      <c r="G34" s="129">
        <v>0</v>
      </c>
      <c r="H34" s="129">
        <v>10.83</v>
      </c>
      <c r="I34" s="129">
        <v>0</v>
      </c>
      <c r="J34" s="129">
        <v>0</v>
      </c>
      <c r="K34" s="129">
        <v>248.10000000000002</v>
      </c>
      <c r="L34" s="129">
        <v>23.73</v>
      </c>
      <c r="M34" s="129">
        <v>2.17</v>
      </c>
      <c r="N34" s="129">
        <v>0.9</v>
      </c>
      <c r="O34" s="129">
        <v>274.00000000000006</v>
      </c>
      <c r="P34" s="129">
        <v>274.90000000000003</v>
      </c>
    </row>
    <row r="35" spans="2:16" x14ac:dyDescent="0.25">
      <c r="B35" s="128">
        <v>44559</v>
      </c>
      <c r="C35" s="129">
        <v>391</v>
      </c>
      <c r="D35" s="129">
        <v>43.64</v>
      </c>
      <c r="E35" s="129">
        <v>10.91</v>
      </c>
      <c r="F35" s="129">
        <v>50</v>
      </c>
      <c r="G35" s="129">
        <v>0</v>
      </c>
      <c r="H35" s="129">
        <v>0</v>
      </c>
      <c r="I35" s="129">
        <v>0</v>
      </c>
      <c r="J35" s="129">
        <v>0</v>
      </c>
      <c r="K35" s="129">
        <v>495.55</v>
      </c>
      <c r="L35" s="129">
        <v>44.56</v>
      </c>
      <c r="M35" s="129">
        <v>10</v>
      </c>
      <c r="N35" s="129">
        <v>1.8</v>
      </c>
      <c r="O35" s="129">
        <v>550.11</v>
      </c>
      <c r="P35" s="129">
        <v>551.91</v>
      </c>
    </row>
    <row r="36" spans="2:16" x14ac:dyDescent="0.25">
      <c r="B36" s="128">
        <v>44559</v>
      </c>
      <c r="C36" s="129">
        <v>0</v>
      </c>
      <c r="D36" s="129">
        <v>0</v>
      </c>
      <c r="E36" s="129">
        <v>0</v>
      </c>
      <c r="F36" s="129">
        <v>0</v>
      </c>
      <c r="G36" s="129">
        <v>0</v>
      </c>
      <c r="H36" s="129">
        <v>0</v>
      </c>
      <c r="I36" s="129">
        <v>0</v>
      </c>
      <c r="J36" s="129">
        <v>0</v>
      </c>
      <c r="K36" s="129">
        <v>0</v>
      </c>
      <c r="L36" s="129">
        <v>0</v>
      </c>
      <c r="M36" s="129">
        <v>0</v>
      </c>
      <c r="N36" s="129">
        <v>0</v>
      </c>
      <c r="O36" s="129">
        <v>0</v>
      </c>
      <c r="P36" s="129">
        <v>0</v>
      </c>
    </row>
    <row r="37" spans="2:16" x14ac:dyDescent="0.25">
      <c r="B37" s="128">
        <v>44559</v>
      </c>
      <c r="C37" s="129">
        <v>0</v>
      </c>
      <c r="D37" s="129">
        <v>0</v>
      </c>
      <c r="E37" s="129">
        <v>0</v>
      </c>
      <c r="F37" s="129">
        <v>0</v>
      </c>
      <c r="G37" s="129">
        <v>0</v>
      </c>
      <c r="H37" s="129">
        <v>0</v>
      </c>
      <c r="I37" s="129">
        <v>0</v>
      </c>
      <c r="J37" s="129">
        <v>0</v>
      </c>
      <c r="K37" s="129">
        <v>0</v>
      </c>
      <c r="L37" s="129">
        <v>0</v>
      </c>
      <c r="M37" s="129">
        <v>0</v>
      </c>
      <c r="N37" s="129">
        <v>0</v>
      </c>
      <c r="O37" s="129">
        <v>0</v>
      </c>
      <c r="P37" s="129">
        <v>0</v>
      </c>
    </row>
    <row r="38" spans="2:16" x14ac:dyDescent="0.25">
      <c r="B38" s="128">
        <v>44559</v>
      </c>
      <c r="C38" s="129">
        <v>0</v>
      </c>
      <c r="D38" s="129">
        <v>0</v>
      </c>
      <c r="E38" s="129">
        <v>0</v>
      </c>
      <c r="F38" s="129">
        <v>0</v>
      </c>
      <c r="G38" s="129">
        <v>0</v>
      </c>
      <c r="H38" s="129">
        <v>0</v>
      </c>
      <c r="I38" s="129">
        <v>0</v>
      </c>
      <c r="J38" s="129">
        <v>0</v>
      </c>
      <c r="K38" s="129">
        <v>0</v>
      </c>
      <c r="L38" s="129">
        <v>0</v>
      </c>
      <c r="M38" s="129">
        <v>0</v>
      </c>
      <c r="N38" s="129">
        <v>0</v>
      </c>
      <c r="O38" s="129">
        <v>0</v>
      </c>
      <c r="P38" s="129">
        <v>0</v>
      </c>
    </row>
    <row r="39" spans="2:16" x14ac:dyDescent="0.25">
      <c r="B39" s="128">
        <v>44559</v>
      </c>
      <c r="C39" s="129">
        <v>0</v>
      </c>
      <c r="D39" s="129">
        <v>0</v>
      </c>
      <c r="E39" s="129">
        <v>0</v>
      </c>
      <c r="F39" s="129">
        <v>0</v>
      </c>
      <c r="G39" s="129">
        <v>0</v>
      </c>
      <c r="H39" s="129">
        <v>0</v>
      </c>
      <c r="I39" s="129">
        <v>0</v>
      </c>
      <c r="J39" s="129">
        <v>0</v>
      </c>
      <c r="K39" s="129">
        <v>0</v>
      </c>
      <c r="L39" s="129">
        <v>0</v>
      </c>
      <c r="M39" s="129">
        <v>0</v>
      </c>
      <c r="N39" s="129">
        <v>0</v>
      </c>
      <c r="O39" s="129">
        <v>0</v>
      </c>
      <c r="P39" s="129">
        <v>0</v>
      </c>
    </row>
    <row r="40" spans="2:16" x14ac:dyDescent="0.25">
      <c r="B40" s="128">
        <v>44559</v>
      </c>
      <c r="C40" s="129">
        <v>0</v>
      </c>
      <c r="D40" s="129">
        <v>0</v>
      </c>
      <c r="E40" s="129">
        <v>0</v>
      </c>
      <c r="F40" s="129">
        <v>0</v>
      </c>
      <c r="G40" s="129">
        <v>0</v>
      </c>
      <c r="H40" s="129">
        <v>0</v>
      </c>
      <c r="I40" s="129">
        <v>0</v>
      </c>
      <c r="J40" s="129">
        <v>0</v>
      </c>
      <c r="K40" s="129">
        <v>0</v>
      </c>
      <c r="L40" s="129">
        <v>0</v>
      </c>
      <c r="M40" s="129">
        <v>0</v>
      </c>
      <c r="N40" s="129">
        <v>0</v>
      </c>
      <c r="O40" s="129">
        <v>0</v>
      </c>
      <c r="P40" s="129">
        <v>0</v>
      </c>
    </row>
    <row r="41" spans="2:16" x14ac:dyDescent="0.25">
      <c r="B41" s="128">
        <v>44559</v>
      </c>
      <c r="C41" s="129">
        <v>0</v>
      </c>
      <c r="D41" s="129">
        <v>0</v>
      </c>
      <c r="E41" s="129">
        <v>0</v>
      </c>
      <c r="F41" s="129">
        <v>0</v>
      </c>
      <c r="G41" s="129">
        <v>0</v>
      </c>
      <c r="H41" s="129">
        <v>0</v>
      </c>
      <c r="I41" s="129">
        <v>0</v>
      </c>
      <c r="J41" s="129">
        <v>0</v>
      </c>
      <c r="K41" s="129">
        <v>0</v>
      </c>
      <c r="L41" s="129">
        <v>0</v>
      </c>
      <c r="M41" s="129">
        <v>0</v>
      </c>
      <c r="N41" s="129">
        <v>0</v>
      </c>
      <c r="O41" s="129">
        <v>0</v>
      </c>
      <c r="P41" s="129">
        <v>0</v>
      </c>
    </row>
    <row r="42" spans="2:16" x14ac:dyDescent="0.25">
      <c r="B42" s="128">
        <v>44541</v>
      </c>
      <c r="C42" s="129">
        <v>0</v>
      </c>
      <c r="D42" s="129">
        <v>0</v>
      </c>
      <c r="E42" s="129">
        <v>0</v>
      </c>
      <c r="F42" s="129">
        <v>0</v>
      </c>
      <c r="G42" s="129">
        <v>0</v>
      </c>
      <c r="H42" s="129">
        <v>0</v>
      </c>
      <c r="I42" s="129">
        <v>0</v>
      </c>
      <c r="J42" s="129">
        <v>0</v>
      </c>
      <c r="K42" s="129">
        <v>0</v>
      </c>
      <c r="L42" s="129">
        <v>0</v>
      </c>
      <c r="M42" s="129">
        <v>0</v>
      </c>
      <c r="N42" s="129">
        <v>0</v>
      </c>
      <c r="O42" s="129">
        <v>0</v>
      </c>
      <c r="P42" s="129">
        <v>0</v>
      </c>
    </row>
    <row r="43" spans="2:16" x14ac:dyDescent="0.25">
      <c r="B43" s="128">
        <v>44542</v>
      </c>
      <c r="C43" s="129">
        <v>0</v>
      </c>
      <c r="D43" s="129">
        <v>0</v>
      </c>
      <c r="E43" s="129">
        <v>0</v>
      </c>
      <c r="F43" s="129">
        <v>0</v>
      </c>
      <c r="G43" s="129">
        <v>0</v>
      </c>
      <c r="H43" s="129">
        <v>0</v>
      </c>
      <c r="I43" s="129">
        <v>0</v>
      </c>
      <c r="J43" s="129">
        <v>0</v>
      </c>
      <c r="K43" s="129">
        <v>0</v>
      </c>
      <c r="L43" s="129">
        <v>0</v>
      </c>
      <c r="M43" s="129">
        <v>0</v>
      </c>
      <c r="N43" s="129">
        <v>0</v>
      </c>
      <c r="O43" s="129">
        <v>0</v>
      </c>
      <c r="P43" s="129">
        <v>0</v>
      </c>
    </row>
    <row r="44" spans="2:16" x14ac:dyDescent="0.25">
      <c r="B44" s="128">
        <v>44543</v>
      </c>
      <c r="C44" s="129">
        <v>0</v>
      </c>
      <c r="D44" s="129">
        <v>0</v>
      </c>
      <c r="E44" s="129">
        <v>0</v>
      </c>
      <c r="F44" s="129">
        <v>0</v>
      </c>
      <c r="G44" s="129">
        <v>0</v>
      </c>
      <c r="H44" s="129">
        <v>0</v>
      </c>
      <c r="I44" s="129">
        <v>0</v>
      </c>
      <c r="J44" s="129">
        <v>0</v>
      </c>
      <c r="K44" s="129">
        <v>0</v>
      </c>
      <c r="L44" s="129">
        <v>0</v>
      </c>
      <c r="M44" s="129">
        <v>0</v>
      </c>
      <c r="N44" s="129">
        <v>0</v>
      </c>
      <c r="O44" s="129">
        <v>0</v>
      </c>
      <c r="P44" s="129">
        <v>0</v>
      </c>
    </row>
    <row r="45" spans="2:16" x14ac:dyDescent="0.25">
      <c r="B45" s="128">
        <v>44544</v>
      </c>
      <c r="C45" s="129">
        <v>0</v>
      </c>
      <c r="D45" s="129">
        <v>0</v>
      </c>
      <c r="E45" s="129">
        <v>0</v>
      </c>
      <c r="F45" s="129">
        <v>0</v>
      </c>
      <c r="G45" s="129">
        <v>0</v>
      </c>
      <c r="H45" s="129">
        <v>0</v>
      </c>
      <c r="I45" s="129">
        <v>0</v>
      </c>
      <c r="J45" s="129">
        <v>0</v>
      </c>
      <c r="K45" s="129">
        <v>0</v>
      </c>
      <c r="L45" s="129">
        <v>0</v>
      </c>
      <c r="M45" s="129">
        <v>0</v>
      </c>
      <c r="N45" s="129">
        <v>0</v>
      </c>
      <c r="O45" s="129">
        <v>0</v>
      </c>
      <c r="P45" s="129">
        <v>0</v>
      </c>
    </row>
    <row r="46" spans="2:16" x14ac:dyDescent="0.25">
      <c r="B46" s="128">
        <v>44545</v>
      </c>
      <c r="C46" s="129">
        <v>0</v>
      </c>
      <c r="D46" s="129">
        <v>0</v>
      </c>
      <c r="E46" s="129">
        <v>0</v>
      </c>
      <c r="F46" s="129">
        <v>0</v>
      </c>
      <c r="G46" s="129">
        <v>0</v>
      </c>
      <c r="H46" s="129">
        <v>0</v>
      </c>
      <c r="I46" s="129">
        <v>0</v>
      </c>
      <c r="J46" s="129">
        <v>0</v>
      </c>
      <c r="K46" s="129">
        <v>0</v>
      </c>
      <c r="L46" s="129">
        <v>0</v>
      </c>
      <c r="M46" s="129">
        <v>0</v>
      </c>
      <c r="N46" s="129">
        <v>0</v>
      </c>
      <c r="O46" s="129">
        <v>0</v>
      </c>
      <c r="P46" s="129">
        <v>0</v>
      </c>
    </row>
    <row r="47" spans="2:16" x14ac:dyDescent="0.25">
      <c r="B47" s="128">
        <v>44546</v>
      </c>
      <c r="C47" s="129">
        <v>0</v>
      </c>
      <c r="D47" s="129">
        <v>0</v>
      </c>
      <c r="E47" s="129">
        <v>0</v>
      </c>
      <c r="F47" s="129">
        <v>0</v>
      </c>
      <c r="G47" s="129">
        <v>0</v>
      </c>
      <c r="H47" s="129">
        <v>0</v>
      </c>
      <c r="I47" s="129">
        <v>0</v>
      </c>
      <c r="J47" s="129">
        <v>0</v>
      </c>
      <c r="K47" s="129">
        <v>0</v>
      </c>
      <c r="L47" s="129">
        <v>0</v>
      </c>
      <c r="M47" s="129">
        <v>0</v>
      </c>
      <c r="N47" s="129">
        <v>0</v>
      </c>
      <c r="O47" s="129">
        <v>0</v>
      </c>
      <c r="P47" s="129">
        <v>0</v>
      </c>
    </row>
    <row r="48" spans="2:16" x14ac:dyDescent="0.25">
      <c r="B48" s="128">
        <v>44547</v>
      </c>
      <c r="C48" s="129">
        <v>0</v>
      </c>
      <c r="D48" s="129">
        <v>0</v>
      </c>
      <c r="E48" s="129">
        <v>0</v>
      </c>
      <c r="F48" s="129">
        <v>0</v>
      </c>
      <c r="G48" s="129">
        <v>0</v>
      </c>
      <c r="H48" s="129">
        <v>0</v>
      </c>
      <c r="I48" s="129">
        <v>0</v>
      </c>
      <c r="J48" s="129">
        <v>0</v>
      </c>
      <c r="K48" s="129">
        <v>0</v>
      </c>
      <c r="L48" s="129">
        <v>0</v>
      </c>
      <c r="M48" s="129">
        <v>0</v>
      </c>
      <c r="N48" s="129">
        <v>0</v>
      </c>
      <c r="O48" s="129">
        <v>0</v>
      </c>
      <c r="P48" s="129">
        <v>0</v>
      </c>
    </row>
    <row r="49" spans="2:16" x14ac:dyDescent="0.25">
      <c r="B49" s="128">
        <v>44548</v>
      </c>
      <c r="C49" s="129">
        <v>0</v>
      </c>
      <c r="D49" s="129">
        <v>0</v>
      </c>
      <c r="E49" s="129">
        <v>0</v>
      </c>
      <c r="F49" s="129">
        <v>0</v>
      </c>
      <c r="G49" s="129">
        <v>0</v>
      </c>
      <c r="H49" s="129">
        <v>0</v>
      </c>
      <c r="I49" s="129">
        <v>0</v>
      </c>
      <c r="J49" s="129">
        <v>0</v>
      </c>
      <c r="K49" s="129">
        <v>0</v>
      </c>
      <c r="L49" s="129">
        <v>0</v>
      </c>
      <c r="M49" s="129">
        <v>0</v>
      </c>
      <c r="N49" s="129">
        <v>0</v>
      </c>
      <c r="O49" s="129">
        <v>0</v>
      </c>
      <c r="P49" s="129">
        <v>0</v>
      </c>
    </row>
    <row r="50" spans="2:16" x14ac:dyDescent="0.25">
      <c r="B50" s="128">
        <v>44549</v>
      </c>
      <c r="C50" s="129">
        <v>0</v>
      </c>
      <c r="D50" s="129">
        <v>0</v>
      </c>
      <c r="E50" s="129">
        <v>0</v>
      </c>
      <c r="F50" s="129">
        <v>0</v>
      </c>
      <c r="G50" s="129">
        <v>0</v>
      </c>
      <c r="H50" s="129">
        <v>0</v>
      </c>
      <c r="I50" s="129">
        <v>0</v>
      </c>
      <c r="J50" s="129">
        <v>0</v>
      </c>
      <c r="K50" s="129">
        <v>0</v>
      </c>
      <c r="L50" s="129">
        <v>0</v>
      </c>
      <c r="M50" s="129">
        <v>0</v>
      </c>
      <c r="N50" s="129">
        <v>0</v>
      </c>
      <c r="O50" s="129">
        <v>0</v>
      </c>
      <c r="P50" s="129">
        <v>0</v>
      </c>
    </row>
    <row r="51" spans="2:16" x14ac:dyDescent="0.25">
      <c r="B51" s="128">
        <v>44550</v>
      </c>
      <c r="C51" s="129">
        <v>0</v>
      </c>
      <c r="D51" s="129">
        <v>0</v>
      </c>
      <c r="E51" s="129">
        <v>0</v>
      </c>
      <c r="F51" s="129">
        <v>0</v>
      </c>
      <c r="G51" s="129">
        <v>0</v>
      </c>
      <c r="H51" s="129">
        <v>0</v>
      </c>
      <c r="I51" s="129">
        <v>0</v>
      </c>
      <c r="J51" s="129">
        <v>0</v>
      </c>
      <c r="K51" s="129">
        <v>0</v>
      </c>
      <c r="L51" s="129">
        <v>0</v>
      </c>
      <c r="M51" s="129">
        <v>0</v>
      </c>
      <c r="N51" s="129">
        <v>0</v>
      </c>
      <c r="O51" s="129">
        <v>0</v>
      </c>
      <c r="P51" s="129">
        <v>0</v>
      </c>
    </row>
    <row r="52" spans="2:16" x14ac:dyDescent="0.25">
      <c r="B52" s="128">
        <v>44551</v>
      </c>
      <c r="C52" s="129">
        <v>0</v>
      </c>
      <c r="D52" s="129">
        <v>0</v>
      </c>
      <c r="E52" s="129">
        <v>0</v>
      </c>
      <c r="F52" s="129">
        <v>0</v>
      </c>
      <c r="G52" s="129">
        <v>0</v>
      </c>
      <c r="H52" s="129">
        <v>0</v>
      </c>
      <c r="I52" s="129">
        <v>0</v>
      </c>
      <c r="J52" s="129">
        <v>0</v>
      </c>
      <c r="K52" s="129">
        <v>0</v>
      </c>
      <c r="L52" s="129">
        <v>0</v>
      </c>
      <c r="M52" s="129">
        <v>0</v>
      </c>
      <c r="N52" s="129">
        <v>0</v>
      </c>
      <c r="O52" s="129">
        <v>0</v>
      </c>
      <c r="P52" s="129">
        <v>0</v>
      </c>
    </row>
    <row r="53" spans="2:16" x14ac:dyDescent="0.25">
      <c r="B53" s="128">
        <v>44552</v>
      </c>
      <c r="C53" s="129">
        <v>0</v>
      </c>
      <c r="D53" s="129">
        <v>0</v>
      </c>
      <c r="E53" s="129">
        <v>0</v>
      </c>
      <c r="F53" s="129">
        <v>0</v>
      </c>
      <c r="G53" s="129">
        <v>0</v>
      </c>
      <c r="H53" s="129">
        <v>0</v>
      </c>
      <c r="I53" s="129">
        <v>0</v>
      </c>
      <c r="J53" s="129">
        <v>0</v>
      </c>
      <c r="K53" s="129">
        <v>0</v>
      </c>
      <c r="L53" s="129">
        <v>0</v>
      </c>
      <c r="M53" s="129">
        <v>0</v>
      </c>
      <c r="N53" s="129">
        <v>0</v>
      </c>
      <c r="O53" s="129">
        <v>0</v>
      </c>
      <c r="P53" s="129">
        <v>0</v>
      </c>
    </row>
    <row r="54" spans="2:16" x14ac:dyDescent="0.25">
      <c r="B54" s="128">
        <v>44553</v>
      </c>
      <c r="C54" s="129">
        <v>0</v>
      </c>
      <c r="D54" s="129">
        <v>0</v>
      </c>
      <c r="E54" s="129">
        <v>0</v>
      </c>
      <c r="F54" s="129">
        <v>0</v>
      </c>
      <c r="G54" s="129">
        <v>0</v>
      </c>
      <c r="H54" s="129">
        <v>0</v>
      </c>
      <c r="I54" s="129">
        <v>0</v>
      </c>
      <c r="J54" s="129">
        <v>0</v>
      </c>
      <c r="K54" s="129">
        <v>0</v>
      </c>
      <c r="L54" s="129">
        <v>0</v>
      </c>
      <c r="M54" s="129">
        <v>0</v>
      </c>
      <c r="N54" s="129">
        <v>0</v>
      </c>
      <c r="O54" s="129">
        <v>0</v>
      </c>
      <c r="P54" s="129">
        <v>0</v>
      </c>
    </row>
    <row r="55" spans="2:16" x14ac:dyDescent="0.25">
      <c r="B55" s="128">
        <v>44554</v>
      </c>
      <c r="C55" s="129">
        <v>0</v>
      </c>
      <c r="D55" s="129">
        <v>0</v>
      </c>
      <c r="E55" s="129">
        <v>0</v>
      </c>
      <c r="F55" s="129">
        <v>0</v>
      </c>
      <c r="G55" s="129">
        <v>0</v>
      </c>
      <c r="H55" s="129">
        <v>0</v>
      </c>
      <c r="I55" s="129">
        <v>0</v>
      </c>
      <c r="J55" s="129">
        <v>0</v>
      </c>
      <c r="K55" s="129">
        <v>0</v>
      </c>
      <c r="L55" s="129">
        <v>0</v>
      </c>
      <c r="M55" s="129">
        <v>0</v>
      </c>
      <c r="N55" s="129">
        <v>0</v>
      </c>
      <c r="O55" s="129">
        <v>0</v>
      </c>
      <c r="P55" s="129">
        <v>0</v>
      </c>
    </row>
    <row r="56" spans="2:16" x14ac:dyDescent="0.25">
      <c r="B56" s="128">
        <v>44555</v>
      </c>
      <c r="C56" s="129">
        <v>0</v>
      </c>
      <c r="D56" s="129">
        <v>0</v>
      </c>
      <c r="E56" s="129">
        <v>0</v>
      </c>
      <c r="F56" s="129">
        <v>0</v>
      </c>
      <c r="G56" s="129">
        <v>0</v>
      </c>
      <c r="H56" s="129">
        <v>0</v>
      </c>
      <c r="I56" s="129">
        <v>0</v>
      </c>
      <c r="J56" s="129">
        <v>0</v>
      </c>
      <c r="K56" s="129">
        <v>0</v>
      </c>
      <c r="L56" s="129">
        <v>0</v>
      </c>
      <c r="M56" s="129">
        <v>0</v>
      </c>
      <c r="N56" s="129">
        <v>0</v>
      </c>
      <c r="O56" s="129">
        <v>0</v>
      </c>
      <c r="P56" s="129">
        <v>0</v>
      </c>
    </row>
    <row r="57" spans="2:16" x14ac:dyDescent="0.25">
      <c r="B57" s="128">
        <v>44556</v>
      </c>
      <c r="C57" s="129">
        <v>0</v>
      </c>
      <c r="D57" s="129">
        <v>0</v>
      </c>
      <c r="E57" s="129">
        <v>0</v>
      </c>
      <c r="F57" s="129">
        <v>0</v>
      </c>
      <c r="G57" s="129">
        <v>0</v>
      </c>
      <c r="H57" s="129">
        <v>0</v>
      </c>
      <c r="I57" s="129">
        <v>0</v>
      </c>
      <c r="J57" s="129">
        <v>0</v>
      </c>
      <c r="K57" s="129">
        <v>0</v>
      </c>
      <c r="L57" s="129">
        <v>0</v>
      </c>
      <c r="M57" s="129">
        <v>0</v>
      </c>
      <c r="N57" s="129">
        <v>0</v>
      </c>
      <c r="O57" s="129">
        <v>0</v>
      </c>
      <c r="P57" s="129">
        <v>0</v>
      </c>
    </row>
    <row r="58" spans="2:16" x14ac:dyDescent="0.25">
      <c r="B58" s="128">
        <v>44557</v>
      </c>
      <c r="C58" s="129">
        <v>0</v>
      </c>
      <c r="D58" s="129">
        <v>0</v>
      </c>
      <c r="E58" s="129">
        <v>0</v>
      </c>
      <c r="F58" s="129">
        <v>0</v>
      </c>
      <c r="G58" s="129">
        <v>0</v>
      </c>
      <c r="H58" s="129">
        <v>0</v>
      </c>
      <c r="I58" s="129">
        <v>0</v>
      </c>
      <c r="J58" s="129">
        <v>0</v>
      </c>
      <c r="K58" s="129">
        <v>0</v>
      </c>
      <c r="L58" s="129">
        <v>0</v>
      </c>
      <c r="M58" s="129">
        <v>0</v>
      </c>
      <c r="N58" s="129">
        <v>0</v>
      </c>
      <c r="O58" s="129">
        <v>0</v>
      </c>
      <c r="P58" s="129">
        <v>0</v>
      </c>
    </row>
    <row r="59" spans="2:16" x14ac:dyDescent="0.25">
      <c r="B59" s="128">
        <v>44560</v>
      </c>
      <c r="C59" s="129">
        <v>0</v>
      </c>
      <c r="D59" s="129">
        <v>0</v>
      </c>
      <c r="E59" s="129">
        <v>0</v>
      </c>
      <c r="F59" s="129">
        <v>0</v>
      </c>
      <c r="G59" s="129">
        <v>0</v>
      </c>
      <c r="H59" s="129">
        <v>0</v>
      </c>
      <c r="I59" s="129">
        <v>0</v>
      </c>
      <c r="J59" s="129">
        <v>0</v>
      </c>
      <c r="K59" s="129">
        <v>0</v>
      </c>
      <c r="L59" s="129">
        <v>0</v>
      </c>
      <c r="M59" s="129">
        <v>0</v>
      </c>
      <c r="N59" s="129">
        <v>0</v>
      </c>
      <c r="O59" s="129">
        <v>0</v>
      </c>
      <c r="P59" s="129">
        <v>0</v>
      </c>
    </row>
    <row r="60" spans="2:16" x14ac:dyDescent="0.25">
      <c r="B60" s="128">
        <v>44561</v>
      </c>
      <c r="C60" s="129">
        <v>0</v>
      </c>
      <c r="D60" s="129">
        <v>0</v>
      </c>
      <c r="E60" s="129">
        <v>0</v>
      </c>
      <c r="F60" s="129">
        <v>0</v>
      </c>
      <c r="G60" s="129">
        <v>0</v>
      </c>
      <c r="H60" s="129">
        <v>0</v>
      </c>
      <c r="I60" s="129">
        <v>0</v>
      </c>
      <c r="J60" s="129">
        <v>0</v>
      </c>
      <c r="K60" s="129">
        <v>0</v>
      </c>
      <c r="L60" s="129">
        <v>0</v>
      </c>
      <c r="M60" s="129">
        <v>0</v>
      </c>
      <c r="N60" s="129">
        <v>0</v>
      </c>
      <c r="O60" s="129">
        <v>0</v>
      </c>
      <c r="P60" s="129">
        <v>0</v>
      </c>
    </row>
    <row r="61" spans="2:16" x14ac:dyDescent="0.25">
      <c r="B61" t="s">
        <v>178</v>
      </c>
      <c r="C61" s="129">
        <f>SUBTOTAL(109,Recettes[Chamb HT])</f>
        <v>1830.7199999999998</v>
      </c>
      <c r="D61" s="129">
        <f>SUBTOTAL(109,Recettes[PDJ HT])</f>
        <v>130.92000000000002</v>
      </c>
      <c r="E61" s="129">
        <f>SUBTOTAL(109,Recettes[Boiss. HT])</f>
        <v>10.91</v>
      </c>
      <c r="F61" s="129">
        <f>SUBTOTAL(109,Recettes[Alc. HT])</f>
        <v>50</v>
      </c>
      <c r="G61" s="129">
        <f>SUBTOTAL(109,Recettes[Resto HT])</f>
        <v>0</v>
      </c>
      <c r="H61" s="129">
        <f>SUBTOTAL(109,Recettes[PKG HT])</f>
        <v>10.83</v>
      </c>
      <c r="I61" s="129">
        <f>SUBTOTAL(109,Recettes[Presg. HT])</f>
        <v>0</v>
      </c>
      <c r="J61" s="129">
        <f>SUBTOTAL(109,Recettes[Div. HT])</f>
        <v>0</v>
      </c>
      <c r="K61" s="129">
        <f>SUBTOTAL(109,Recettes[Total HT])</f>
        <v>2033.3799999999999</v>
      </c>
      <c r="L61" s="129">
        <f>SUBTOTAL(109,Recettes[TVA 10%])</f>
        <v>197.26</v>
      </c>
      <c r="M61" s="129">
        <f>SUBTOTAL(109,Recettes[TVA 20%])</f>
        <v>12.17</v>
      </c>
      <c r="N61" s="129">
        <f>SUBTOTAL(109,Recettes[Taxe séjour])</f>
        <v>9.0000000000000018</v>
      </c>
      <c r="O61" s="129">
        <f>SUBTOTAL(109,Recettes[Total TTC])</f>
        <v>2242.81</v>
      </c>
      <c r="P61" s="129">
        <f>SUBTOTAL(109,Recettes[Total facturé])</f>
        <v>2251.81</v>
      </c>
    </row>
  </sheetData>
  <mergeCells count="2">
    <mergeCell ref="B2:P2"/>
    <mergeCell ref="B3:P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35F77-9B92-48F1-B095-FAF36DBA68FC}">
  <dimension ref="B2:O46"/>
  <sheetViews>
    <sheetView showGridLines="0" workbookViewId="0">
      <selection activeCell="I7" sqref="I7"/>
    </sheetView>
  </sheetViews>
  <sheetFormatPr baseColWidth="10" defaultRowHeight="12.6" x14ac:dyDescent="0.25"/>
  <cols>
    <col min="1" max="1" width="3.77734375" customWidth="1"/>
    <col min="2" max="2" width="13.77734375" bestFit="1" customWidth="1"/>
    <col min="3" max="3" width="16.44140625" bestFit="1" customWidth="1"/>
    <col min="4" max="4" width="10.88671875" bestFit="1" customWidth="1"/>
    <col min="5" max="5" width="9" bestFit="1" customWidth="1"/>
    <col min="6" max="6" width="10.77734375" bestFit="1" customWidth="1"/>
    <col min="7" max="7" width="8.44140625" bestFit="1" customWidth="1"/>
    <col min="8" max="8" width="13.6640625" bestFit="1" customWidth="1"/>
    <col min="9" max="9" width="12.77734375" bestFit="1" customWidth="1"/>
    <col min="10" max="10" width="12.6640625" bestFit="1" customWidth="1"/>
    <col min="11" max="11" width="18.44140625" bestFit="1" customWidth="1"/>
    <col min="12" max="12" width="9.5546875" bestFit="1" customWidth="1"/>
    <col min="13" max="13" width="24.44140625" bestFit="1" customWidth="1"/>
    <col min="14" max="14" width="18.21875" bestFit="1" customWidth="1"/>
    <col min="15" max="15" width="21.44140625" bestFit="1" customWidth="1"/>
  </cols>
  <sheetData>
    <row r="2" spans="2:15" s="1" customFormat="1" ht="24.6" customHeight="1" x14ac:dyDescent="0.25">
      <c r="B2" s="135" t="s">
        <v>2</v>
      </c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</row>
    <row r="3" spans="2:15" s="1" customFormat="1" ht="33" customHeight="1" x14ac:dyDescent="0.25">
      <c r="B3" s="135" t="s">
        <v>94</v>
      </c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</row>
    <row r="5" spans="2:15" x14ac:dyDescent="0.25">
      <c r="B5" s="120" t="s">
        <v>168</v>
      </c>
      <c r="C5" s="121">
        <v>2021</v>
      </c>
      <c r="E5" t="s">
        <v>193</v>
      </c>
    </row>
    <row r="6" spans="2:15" x14ac:dyDescent="0.25">
      <c r="B6" s="122" t="s">
        <v>169</v>
      </c>
      <c r="C6" s="123" t="s">
        <v>177</v>
      </c>
      <c r="E6" t="s">
        <v>192</v>
      </c>
    </row>
    <row r="9" spans="2:15" x14ac:dyDescent="0.25">
      <c r="B9" t="s">
        <v>92</v>
      </c>
      <c r="C9" t="s">
        <v>43</v>
      </c>
      <c r="D9" s="31" t="s">
        <v>17</v>
      </c>
      <c r="E9" s="31" t="s">
        <v>1</v>
      </c>
      <c r="F9" s="31" t="s">
        <v>18</v>
      </c>
      <c r="G9" s="31" t="s">
        <v>44</v>
      </c>
      <c r="H9" s="31" t="s">
        <v>31</v>
      </c>
      <c r="I9" s="31" t="s">
        <v>11</v>
      </c>
      <c r="J9" s="31" t="s">
        <v>22</v>
      </c>
      <c r="K9" s="31" t="s">
        <v>7</v>
      </c>
      <c r="L9" s="31" t="s">
        <v>15</v>
      </c>
      <c r="M9" s="31" t="s">
        <v>13</v>
      </c>
      <c r="N9" s="31" t="s">
        <v>19</v>
      </c>
      <c r="O9" s="31" t="s">
        <v>20</v>
      </c>
    </row>
    <row r="10" spans="2:15" x14ac:dyDescent="0.25">
      <c r="B10" s="128">
        <v>44531</v>
      </c>
      <c r="C10" s="127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</row>
    <row r="11" spans="2:15" x14ac:dyDescent="0.25">
      <c r="B11" s="128">
        <v>44558</v>
      </c>
      <c r="C11" s="127">
        <v>44558</v>
      </c>
      <c r="D11" s="125"/>
      <c r="E11" s="125"/>
      <c r="F11" s="125"/>
      <c r="G11" s="125"/>
      <c r="H11" s="125">
        <v>5.8</v>
      </c>
      <c r="I11" s="125">
        <v>150</v>
      </c>
      <c r="J11" s="125"/>
      <c r="K11" s="125"/>
      <c r="L11" s="125"/>
      <c r="M11" s="125">
        <v>155.80000000000001</v>
      </c>
      <c r="N11" s="125"/>
      <c r="O11" s="125" t="s">
        <v>47</v>
      </c>
    </row>
    <row r="12" spans="2:15" x14ac:dyDescent="0.25">
      <c r="B12" s="128">
        <v>44532</v>
      </c>
      <c r="C12" s="127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</row>
    <row r="13" spans="2:15" x14ac:dyDescent="0.25">
      <c r="B13" s="128">
        <v>44557</v>
      </c>
      <c r="C13" s="127">
        <v>44557</v>
      </c>
      <c r="D13" s="125"/>
      <c r="E13" s="125"/>
      <c r="F13" s="125"/>
      <c r="G13" s="125">
        <v>234</v>
      </c>
      <c r="H13" s="125"/>
      <c r="I13" s="125"/>
      <c r="J13" s="125"/>
      <c r="K13" s="125"/>
      <c r="L13" s="125"/>
      <c r="M13" s="125">
        <v>234</v>
      </c>
      <c r="N13" s="125"/>
      <c r="O13" s="125" t="s">
        <v>47</v>
      </c>
    </row>
    <row r="14" spans="2:15" x14ac:dyDescent="0.25">
      <c r="B14" s="128">
        <v>44533</v>
      </c>
      <c r="C14" s="127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O14" s="125"/>
    </row>
    <row r="15" spans="2:15" x14ac:dyDescent="0.25">
      <c r="B15" s="128">
        <v>44559</v>
      </c>
      <c r="C15" s="127">
        <v>44559</v>
      </c>
      <c r="D15" s="125">
        <v>173.4</v>
      </c>
      <c r="E15" s="125"/>
      <c r="F15" s="125"/>
      <c r="G15" s="125"/>
      <c r="H15" s="125"/>
      <c r="I15" s="125"/>
      <c r="J15" s="125"/>
      <c r="K15" s="125"/>
      <c r="L15" s="125"/>
      <c r="M15" s="125">
        <v>173.4</v>
      </c>
      <c r="N15" s="125"/>
      <c r="O15" s="125" t="s">
        <v>47</v>
      </c>
    </row>
    <row r="16" spans="2:15" x14ac:dyDescent="0.25">
      <c r="B16" s="128">
        <v>44559</v>
      </c>
      <c r="C16" s="127">
        <v>44559</v>
      </c>
      <c r="D16" s="125">
        <v>293.39999999999998</v>
      </c>
      <c r="E16" s="125"/>
      <c r="F16" s="125"/>
      <c r="G16" s="125"/>
      <c r="H16" s="125"/>
      <c r="I16" s="125"/>
      <c r="J16" s="125"/>
      <c r="K16" s="125"/>
      <c r="L16" s="125"/>
      <c r="M16" s="125">
        <v>293.39999999999998</v>
      </c>
      <c r="N16" s="125"/>
      <c r="O16" s="125" t="s">
        <v>47</v>
      </c>
    </row>
    <row r="17" spans="2:15" x14ac:dyDescent="0.25">
      <c r="B17" s="128">
        <v>44559</v>
      </c>
      <c r="C17" s="127">
        <v>44559</v>
      </c>
      <c r="D17" s="125"/>
      <c r="E17" s="125"/>
      <c r="F17" s="125"/>
      <c r="G17" s="125"/>
      <c r="H17" s="125"/>
      <c r="I17" s="125">
        <v>400</v>
      </c>
      <c r="J17" s="125">
        <v>-3.4</v>
      </c>
      <c r="K17" s="125"/>
      <c r="L17" s="125"/>
      <c r="M17" s="125">
        <v>396.6</v>
      </c>
      <c r="N17" s="125"/>
      <c r="O17" s="125" t="s">
        <v>47</v>
      </c>
    </row>
    <row r="18" spans="2:15" x14ac:dyDescent="0.25">
      <c r="B18" s="128">
        <v>44559</v>
      </c>
      <c r="C18" s="127">
        <v>44559</v>
      </c>
      <c r="D18" s="125"/>
      <c r="E18" s="125">
        <v>171.8</v>
      </c>
      <c r="F18" s="125"/>
      <c r="G18" s="125"/>
      <c r="H18" s="125"/>
      <c r="I18" s="125"/>
      <c r="J18" s="125"/>
      <c r="K18" s="125"/>
      <c r="L18" s="125"/>
      <c r="M18" s="125">
        <v>171.8</v>
      </c>
      <c r="N18" s="125"/>
      <c r="O18" s="125" t="s">
        <v>47</v>
      </c>
    </row>
    <row r="19" spans="2:15" x14ac:dyDescent="0.25">
      <c r="B19" s="128">
        <v>44559</v>
      </c>
      <c r="C19" s="127">
        <v>44559</v>
      </c>
      <c r="D19" s="125">
        <v>274.89999999999998</v>
      </c>
      <c r="E19" s="125"/>
      <c r="F19" s="125"/>
      <c r="G19" s="125"/>
      <c r="H19" s="125"/>
      <c r="I19" s="125"/>
      <c r="J19" s="125"/>
      <c r="K19" s="125"/>
      <c r="L19" s="125"/>
      <c r="M19" s="125">
        <v>274.89999999999998</v>
      </c>
      <c r="N19" s="125"/>
      <c r="O19" s="125" t="s">
        <v>47</v>
      </c>
    </row>
    <row r="20" spans="2:15" x14ac:dyDescent="0.25">
      <c r="B20" s="128">
        <v>44559</v>
      </c>
      <c r="C20" s="127">
        <v>44559</v>
      </c>
      <c r="D20" s="125"/>
      <c r="E20" s="125">
        <v>551.9</v>
      </c>
      <c r="F20" s="125"/>
      <c r="G20" s="125"/>
      <c r="H20" s="125"/>
      <c r="I20" s="125"/>
      <c r="J20" s="125"/>
      <c r="K20" s="125"/>
      <c r="L20" s="125"/>
      <c r="M20" s="125">
        <v>551.9</v>
      </c>
      <c r="N20" s="125"/>
      <c r="O20" s="125" t="s">
        <v>47</v>
      </c>
    </row>
    <row r="21" spans="2:15" x14ac:dyDescent="0.25">
      <c r="B21" s="128">
        <v>44534</v>
      </c>
      <c r="C21" s="127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</row>
    <row r="22" spans="2:15" x14ac:dyDescent="0.25">
      <c r="B22" s="128">
        <v>44535</v>
      </c>
      <c r="C22" s="127"/>
      <c r="D22" s="125"/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</row>
    <row r="23" spans="2:15" x14ac:dyDescent="0.25">
      <c r="B23" s="128">
        <v>44536</v>
      </c>
      <c r="C23" s="127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</row>
    <row r="24" spans="2:15" x14ac:dyDescent="0.25">
      <c r="B24" s="128">
        <v>44537</v>
      </c>
      <c r="C24" s="127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</row>
    <row r="25" spans="2:15" x14ac:dyDescent="0.25">
      <c r="B25" s="128">
        <v>44538</v>
      </c>
      <c r="C25" s="127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</row>
    <row r="26" spans="2:15" x14ac:dyDescent="0.25">
      <c r="B26" s="128">
        <v>44539</v>
      </c>
      <c r="C26" s="127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</row>
    <row r="27" spans="2:15" x14ac:dyDescent="0.25">
      <c r="B27" s="128">
        <v>44540</v>
      </c>
      <c r="C27" s="127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</row>
    <row r="28" spans="2:15" x14ac:dyDescent="0.25">
      <c r="B28" s="128">
        <v>44541</v>
      </c>
      <c r="C28" s="127"/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  <c r="O28" s="125"/>
    </row>
    <row r="29" spans="2:15" x14ac:dyDescent="0.25">
      <c r="B29" s="128">
        <v>44542</v>
      </c>
      <c r="C29" s="127"/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</row>
    <row r="30" spans="2:15" x14ac:dyDescent="0.25">
      <c r="B30" s="128">
        <v>44543</v>
      </c>
      <c r="C30" s="127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</row>
    <row r="31" spans="2:15" x14ac:dyDescent="0.25">
      <c r="B31" s="128">
        <v>44544</v>
      </c>
      <c r="C31" s="127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</row>
    <row r="32" spans="2:15" x14ac:dyDescent="0.25">
      <c r="B32" s="128">
        <v>44545</v>
      </c>
      <c r="C32" s="127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</row>
    <row r="33" spans="2:15" x14ac:dyDescent="0.25">
      <c r="B33" s="128">
        <v>44546</v>
      </c>
      <c r="C33" s="127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</row>
    <row r="34" spans="2:15" x14ac:dyDescent="0.25">
      <c r="B34" s="128">
        <v>44547</v>
      </c>
      <c r="C34" s="127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</row>
    <row r="35" spans="2:15" x14ac:dyDescent="0.25">
      <c r="B35" s="128">
        <v>44548</v>
      </c>
      <c r="C35" s="127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</row>
    <row r="36" spans="2:15" x14ac:dyDescent="0.25">
      <c r="B36" s="128">
        <v>44549</v>
      </c>
      <c r="C36" s="127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  <c r="O36" s="125"/>
    </row>
    <row r="37" spans="2:15" x14ac:dyDescent="0.25">
      <c r="B37" s="128">
        <v>44550</v>
      </c>
      <c r="C37" s="127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  <c r="O37" s="125"/>
    </row>
    <row r="38" spans="2:15" x14ac:dyDescent="0.25">
      <c r="B38" s="128">
        <v>44551</v>
      </c>
      <c r="C38" s="127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</row>
    <row r="39" spans="2:15" x14ac:dyDescent="0.25">
      <c r="B39" s="128">
        <v>44552</v>
      </c>
      <c r="C39" s="127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</row>
    <row r="40" spans="2:15" x14ac:dyDescent="0.25">
      <c r="B40" s="128">
        <v>44553</v>
      </c>
      <c r="C40" s="127"/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</row>
    <row r="41" spans="2:15" x14ac:dyDescent="0.25">
      <c r="B41" s="128">
        <v>44554</v>
      </c>
      <c r="C41" s="127"/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</row>
    <row r="42" spans="2:15" x14ac:dyDescent="0.25">
      <c r="B42" s="128">
        <v>44555</v>
      </c>
      <c r="C42" s="127"/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</row>
    <row r="43" spans="2:15" x14ac:dyDescent="0.25">
      <c r="B43" s="128">
        <v>44556</v>
      </c>
      <c r="C43" s="127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</row>
    <row r="44" spans="2:15" x14ac:dyDescent="0.25">
      <c r="B44" s="128">
        <v>44560</v>
      </c>
      <c r="C44" s="127"/>
      <c r="D44" s="125"/>
      <c r="E44" s="125"/>
      <c r="F44" s="125"/>
      <c r="G44" s="125"/>
      <c r="H44" s="125"/>
      <c r="I44" s="125"/>
      <c r="J44" s="125"/>
      <c r="K44" s="125"/>
      <c r="L44" s="125"/>
      <c r="M44" s="125"/>
      <c r="N44" s="125"/>
      <c r="O44" s="125"/>
    </row>
    <row r="45" spans="2:15" x14ac:dyDescent="0.25">
      <c r="B45" s="128">
        <v>44561</v>
      </c>
      <c r="C45" s="127"/>
      <c r="D45" s="125"/>
      <c r="E45" s="125"/>
      <c r="F45" s="125"/>
      <c r="G45" s="125"/>
      <c r="H45" s="125"/>
      <c r="I45" s="125"/>
      <c r="J45" s="125"/>
      <c r="K45" s="125"/>
      <c r="L45" s="125"/>
      <c r="M45" s="125"/>
      <c r="N45" s="125"/>
      <c r="O45" s="125"/>
    </row>
    <row r="46" spans="2:15" x14ac:dyDescent="0.25">
      <c r="B46" t="s">
        <v>178</v>
      </c>
      <c r="C46" s="125"/>
      <c r="D46" s="125">
        <f>SUBTOTAL(109,Encaissement[CB
EMV])</f>
        <v>741.69999999999993</v>
      </c>
      <c r="E46" s="125">
        <f>SUBTOTAL(109,Encaissement[AMEX])</f>
        <v>723.7</v>
      </c>
      <c r="F46" s="125">
        <f>SUBTOTAL(109,Encaissement[CB
VAD])</f>
        <v>0</v>
      </c>
      <c r="G46" s="125">
        <f>SUBTOTAL(109,Encaissement[PLBS])</f>
        <v>234</v>
      </c>
      <c r="H46" s="125">
        <f>SUBTOTAL(109,Encaissement[CB
SS CTC])</f>
        <v>5.8</v>
      </c>
      <c r="I46" s="125">
        <f>SUBTOTAL(109,Encaissement[CHQ VAC.])</f>
        <v>550</v>
      </c>
      <c r="J46" s="125">
        <f>SUBTOTAL(109,Encaissement[ESPECES])</f>
        <v>-3.4</v>
      </c>
      <c r="K46" s="125">
        <f>SUBTOTAL(109,Encaissement[CHQ BANCAIRE])</f>
        <v>0</v>
      </c>
      <c r="L46" s="125">
        <f>SUBTOTAL(109,Encaissement[VIRMT])</f>
        <v>0</v>
      </c>
      <c r="M46" s="125">
        <f>SUBTOTAL(109,Encaissement[TOTAL TTC ENCAISSE])</f>
        <v>2251.8000000000002</v>
      </c>
      <c r="N46" s="125">
        <f>SUBTOTAL(109,Encaissement[DIFFERE
RECU])</f>
        <v>0</v>
      </c>
      <c r="O46" s="125">
        <f>SUBTOTAL(109,Encaissement[DIFFERE
ATTENTE])</f>
        <v>0</v>
      </c>
    </row>
  </sheetData>
  <mergeCells count="2">
    <mergeCell ref="B2:O2"/>
    <mergeCell ref="B3:O3"/>
  </mergeCells>
  <dataValidations count="2">
    <dataValidation type="list" allowBlank="1" showInputMessage="1" showErrorMessage="1" sqref="C5" xr:uid="{527DA3BB-E927-4AB9-B6E3-2EBA1AC61228}">
      <formula1>l_Annee</formula1>
    </dataValidation>
    <dataValidation type="list" allowBlank="1" showInputMessage="1" showErrorMessage="1" sqref="C6" xr:uid="{F3E7295F-8E6F-40CB-ABF8-C64854378550}">
      <formula1>l_Mois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586E14-E665-4A62-A7EF-26E5E9DA543A}">
  <dimension ref="B2:D14"/>
  <sheetViews>
    <sheetView showGridLines="0" workbookViewId="0">
      <selection activeCell="B3" sqref="B3"/>
    </sheetView>
  </sheetViews>
  <sheetFormatPr baseColWidth="10" defaultRowHeight="12.6" x14ac:dyDescent="0.25"/>
  <cols>
    <col min="1" max="1" width="3.77734375" customWidth="1"/>
    <col min="3" max="3" width="3.77734375" customWidth="1"/>
    <col min="5" max="5" width="3.77734375" customWidth="1"/>
  </cols>
  <sheetData>
    <row r="2" spans="2:4" x14ac:dyDescent="0.25">
      <c r="B2" s="31" t="s">
        <v>168</v>
      </c>
      <c r="D2" s="126" t="s">
        <v>169</v>
      </c>
    </row>
    <row r="3" spans="2:4" x14ac:dyDescent="0.25">
      <c r="B3" s="31">
        <v>2021</v>
      </c>
      <c r="D3" s="126" t="s">
        <v>170</v>
      </c>
    </row>
    <row r="4" spans="2:4" x14ac:dyDescent="0.25">
      <c r="B4" s="31">
        <v>2022</v>
      </c>
      <c r="D4" s="126" t="s">
        <v>171</v>
      </c>
    </row>
    <row r="5" spans="2:4" x14ac:dyDescent="0.25">
      <c r="D5" s="126" t="s">
        <v>164</v>
      </c>
    </row>
    <row r="6" spans="2:4" x14ac:dyDescent="0.25">
      <c r="D6" s="126" t="s">
        <v>172</v>
      </c>
    </row>
    <row r="7" spans="2:4" x14ac:dyDescent="0.25">
      <c r="D7" s="126" t="s">
        <v>165</v>
      </c>
    </row>
    <row r="8" spans="2:4" x14ac:dyDescent="0.25">
      <c r="D8" s="126" t="s">
        <v>166</v>
      </c>
    </row>
    <row r="9" spans="2:4" x14ac:dyDescent="0.25">
      <c r="D9" s="126" t="s">
        <v>173</v>
      </c>
    </row>
    <row r="10" spans="2:4" x14ac:dyDescent="0.25">
      <c r="D10" s="126" t="s">
        <v>167</v>
      </c>
    </row>
    <row r="11" spans="2:4" x14ac:dyDescent="0.25">
      <c r="D11" s="126" t="s">
        <v>174</v>
      </c>
    </row>
    <row r="12" spans="2:4" x14ac:dyDescent="0.25">
      <c r="D12" s="126" t="s">
        <v>175</v>
      </c>
    </row>
    <row r="13" spans="2:4" x14ac:dyDescent="0.25">
      <c r="D13" s="126" t="s">
        <v>176</v>
      </c>
    </row>
    <row r="14" spans="2:4" x14ac:dyDescent="0.25">
      <c r="D14" s="126" t="s">
        <v>177</v>
      </c>
    </row>
  </sheetData>
  <phoneticPr fontId="14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D7F005-19E8-4C7F-B8FF-B689B3A6C4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SAISIE</vt:lpstr>
      <vt:lpstr>PQ Recettes</vt:lpstr>
      <vt:lpstr>PQ Encaissement</vt:lpstr>
      <vt:lpstr>Paramètres</vt:lpstr>
      <vt:lpstr>_Annee</vt:lpstr>
      <vt:lpstr>_Mois</vt:lpstr>
      <vt:lpstr>SAISIE!Impression_des_titres</vt:lpstr>
      <vt:lpstr>l_Annee</vt:lpstr>
      <vt:lpstr>l_Mois</vt:lpstr>
      <vt:lpstr>SAISIE!Zone_d_impression</vt:lpstr>
    </vt:vector>
  </TitlesOfParts>
  <Company>Hôtel de Londres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LCC</dc:creator>
  <cp:keywords>RECETTES</cp:keywords>
  <cp:lastModifiedBy>JoDan</cp:lastModifiedBy>
  <cp:lastPrinted>2022-12-06T22:01:09Z</cp:lastPrinted>
  <dcterms:created xsi:type="dcterms:W3CDTF">2001-04-08T16:54:49Z</dcterms:created>
  <dcterms:modified xsi:type="dcterms:W3CDTF">2023-01-04T01:53:14Z</dcterms:modified>
</cp:coreProperties>
</file>