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3.xml" ContentType="application/vnd.ms-excel.person+xml"/>
  <Override PartName="/xl/persons/person.xml" ContentType="application/vnd.ms-excel.person+xml"/>
  <Override PartName="/xl/persons/person2.xml" ContentType="application/vnd.ms-excel.person+xml"/>
  <Override PartName="/xl/persons/person0.xml" ContentType="application/vnd.ms-excel.person+xml"/>
  <Override PartName="/xl/persons/person4.xml" ContentType="application/vnd.ms-excel.person+xml"/>
  <Override PartName="/xl/persons/person5.xml" ContentType="application/vnd.ms-excel.person+xml"/>
  <Override PartName="/xl/persons/person1.xml" ContentType="application/vnd.ms-excel.person+xml"/>
  <Override PartName="/xl/persons/person6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660F80C8-0B4C-4B38-BCA5-07FE607B96A1}" xr6:coauthVersionLast="47" xr6:coauthVersionMax="47" xr10:uidLastSave="{00000000-0000-0000-0000-000000000000}"/>
  <bookViews>
    <workbookView xWindow="-108" yWindow="-108" windowWidth="23256" windowHeight="12576" tabRatio="874" activeTab="1" xr2:uid="{00000000-000D-0000-FFFF-FFFF00000000}"/>
  </bookViews>
  <sheets>
    <sheet name="SAISIE" sheetId="39" r:id="rId1"/>
    <sheet name="TCD RECETTE" sheetId="41" r:id="rId2"/>
    <sheet name="TCD ENCAISSEMENTS" sheetId="49" r:id="rId3"/>
  </sheets>
  <definedNames>
    <definedName name="_TVA1">#REF!</definedName>
    <definedName name="_TVA2">#REF!</definedName>
    <definedName name="_TVA3">#REF!</definedName>
    <definedName name="_TVA4">#REF!</definedName>
    <definedName name="_TVA5">#REF!</definedName>
    <definedName name="_TVA6">#REF!</definedName>
    <definedName name="_TVA7">#REF!</definedName>
    <definedName name="_TVA8">#REF!</definedName>
    <definedName name="_TVA9">#REF!</definedName>
    <definedName name="COM_AMEX">#REF!</definedName>
    <definedName name="COM_CB">#REF!</definedName>
    <definedName name="ENCAISSEMENTS">#REF!</definedName>
    <definedName name="_xlnm.Print_Titles" localSheetId="0">SAISIE!$2:$3</definedName>
    <definedName name="Segment_Années2">#N/A</definedName>
    <definedName name="Segment_DEPART">#N/A</definedName>
    <definedName name="Segment_Mois2">#N/A</definedName>
    <definedName name="_xlnm.Print_Area" localSheetId="0">SAISIE!$E$2:$AM$133</definedName>
    <definedName name="_xlnm.Print_Area" localSheetId="1">'TCD RECETTE'!$A$1:$N$42</definedName>
  </definedNames>
  <calcPr calcId="191029"/>
  <pivotCaches>
    <pivotCache cacheId="8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39" l="1"/>
  <c r="B4" i="39" s="1"/>
  <c r="C4" i="39"/>
  <c r="E4" i="39"/>
  <c r="AA4" i="39" s="1"/>
  <c r="AN4" i="39" s="1"/>
  <c r="Z4" i="39"/>
  <c r="AK4" i="39"/>
  <c r="AM4" i="39" l="1"/>
  <c r="A5" i="39"/>
  <c r="B5" i="39" s="1"/>
  <c r="C5" i="39"/>
  <c r="E5" i="39"/>
  <c r="Z5" i="39"/>
  <c r="AA5" i="39"/>
  <c r="AN5" i="39" s="1"/>
  <c r="AK5" i="39"/>
  <c r="AM5" i="39" l="1"/>
  <c r="A6" i="39"/>
  <c r="B6" i="39" s="1"/>
  <c r="C6" i="39"/>
  <c r="E6" i="39"/>
  <c r="Z6" i="39"/>
  <c r="AA6" i="39"/>
  <c r="AN6" i="39" s="1"/>
  <c r="AK6" i="39"/>
  <c r="AM6" i="39" l="1"/>
  <c r="A7" i="39"/>
  <c r="B7" i="39" s="1"/>
  <c r="C7" i="39"/>
  <c r="E7" i="39"/>
  <c r="Z7" i="39"/>
  <c r="AA7" i="39"/>
  <c r="AN7" i="39" s="1"/>
  <c r="AK7" i="39"/>
  <c r="A8" i="39"/>
  <c r="B8" i="39" s="1"/>
  <c r="C8" i="39"/>
  <c r="E8" i="39"/>
  <c r="Z8" i="39"/>
  <c r="AA8" i="39"/>
  <c r="AN8" i="39" s="1"/>
  <c r="AK8" i="39"/>
  <c r="AM7" i="39" l="1"/>
  <c r="AM8" i="39"/>
  <c r="A9" i="39"/>
  <c r="B9" i="39" s="1"/>
  <c r="C9" i="39"/>
  <c r="E9" i="39"/>
  <c r="Z9" i="39"/>
  <c r="AA9" i="39"/>
  <c r="AN9" i="39" s="1"/>
  <c r="AK9" i="39"/>
  <c r="AM9" i="39" l="1"/>
  <c r="A10" i="39"/>
  <c r="B10" i="39" s="1"/>
  <c r="C10" i="39"/>
  <c r="E10" i="39"/>
  <c r="Z10" i="39"/>
  <c r="AA10" i="39"/>
  <c r="AN10" i="39" s="1"/>
  <c r="AK10" i="39"/>
  <c r="AM10" i="39" l="1"/>
  <c r="A11" i="39"/>
  <c r="B11" i="39" s="1"/>
  <c r="C11" i="39"/>
  <c r="E11" i="39"/>
  <c r="Z11" i="39"/>
  <c r="AA11" i="39"/>
  <c r="AN11" i="39" s="1"/>
  <c r="AK11" i="39"/>
  <c r="AM11" i="39" l="1"/>
  <c r="A12" i="39"/>
  <c r="B12" i="39" s="1"/>
  <c r="C12" i="39"/>
  <c r="E12" i="39"/>
  <c r="Z12" i="39"/>
  <c r="AA12" i="39"/>
  <c r="AN12" i="39" s="1"/>
  <c r="AK12" i="39"/>
  <c r="AM12" i="39" l="1"/>
  <c r="A13" i="39"/>
  <c r="B13" i="39" s="1"/>
  <c r="C13" i="39"/>
  <c r="E13" i="39"/>
  <c r="Z13" i="39"/>
  <c r="AK13" i="39"/>
  <c r="AN13" i="39"/>
  <c r="AM13" i="39" l="1"/>
  <c r="A14" i="39"/>
  <c r="B14" i="39" s="1"/>
  <c r="C14" i="39"/>
  <c r="E14" i="39"/>
  <c r="AA14" i="39" s="1"/>
  <c r="AN14" i="39" s="1"/>
  <c r="Z14" i="39"/>
  <c r="AK14" i="39"/>
  <c r="AM14" i="39" l="1"/>
  <c r="A15" i="39"/>
  <c r="B15" i="39" s="1"/>
  <c r="C15" i="39"/>
  <c r="E15" i="39"/>
  <c r="AA15" i="39" s="1"/>
  <c r="AN15" i="39" s="1"/>
  <c r="O15" i="39"/>
  <c r="Z15" i="39" s="1"/>
  <c r="AK15" i="39"/>
  <c r="A16" i="39"/>
  <c r="B16" i="39"/>
  <c r="C16" i="39"/>
  <c r="E16" i="39"/>
  <c r="AA16" i="39" s="1"/>
  <c r="AN16" i="39" s="1"/>
  <c r="O16" i="39"/>
  <c r="Z16" i="39" s="1"/>
  <c r="AK16" i="39"/>
  <c r="AM15" i="39" l="1"/>
  <c r="AM16" i="39"/>
  <c r="A17" i="39"/>
  <c r="B17" i="39" s="1"/>
  <c r="C17" i="39"/>
  <c r="E17" i="39"/>
  <c r="AA17" i="39" s="1"/>
  <c r="AN17" i="39" s="1"/>
  <c r="Z17" i="39"/>
  <c r="AK17" i="39"/>
  <c r="AM17" i="39" l="1"/>
  <c r="A18" i="39"/>
  <c r="B18" i="39" s="1"/>
  <c r="C18" i="39"/>
  <c r="E18" i="39"/>
  <c r="AA18" i="39" s="1"/>
  <c r="AN18" i="39" s="1"/>
  <c r="O18" i="39"/>
  <c r="Z18" i="39" s="1"/>
  <c r="AK18" i="39"/>
  <c r="AM18" i="39" l="1"/>
  <c r="A19" i="39"/>
  <c r="B19" i="39" s="1"/>
  <c r="C19" i="39"/>
  <c r="E19" i="39"/>
  <c r="AA19" i="39" s="1"/>
  <c r="AN19" i="39" s="1"/>
  <c r="O19" i="39"/>
  <c r="Z19" i="39" s="1"/>
  <c r="AK19" i="39"/>
  <c r="A20" i="39"/>
  <c r="B20" i="39" s="1"/>
  <c r="C20" i="39"/>
  <c r="E20" i="39"/>
  <c r="Z20" i="39"/>
  <c r="AA20" i="39"/>
  <c r="AN20" i="39" s="1"/>
  <c r="AK20" i="39"/>
  <c r="AM19" i="39" l="1"/>
  <c r="AM20" i="39"/>
  <c r="A21" i="39"/>
  <c r="B21" i="39" s="1"/>
  <c r="C21" i="39"/>
  <c r="E21" i="39"/>
  <c r="Z21" i="39"/>
  <c r="AA21" i="39"/>
  <c r="AN21" i="39" s="1"/>
  <c r="AK21" i="39"/>
  <c r="AM21" i="39" l="1"/>
  <c r="A22" i="39"/>
  <c r="B22" i="39" s="1"/>
  <c r="C22" i="39"/>
  <c r="E22" i="39"/>
  <c r="Z22" i="39"/>
  <c r="AA22" i="39"/>
  <c r="AN22" i="39" s="1"/>
  <c r="AK22" i="39"/>
  <c r="A23" i="39"/>
  <c r="B23" i="39" s="1"/>
  <c r="C23" i="39"/>
  <c r="E23" i="39"/>
  <c r="Z23" i="39"/>
  <c r="AA23" i="39"/>
  <c r="AN23" i="39" s="1"/>
  <c r="AK23" i="39"/>
  <c r="A24" i="39"/>
  <c r="B24" i="39" s="1"/>
  <c r="C24" i="39"/>
  <c r="E24" i="39"/>
  <c r="Z24" i="39"/>
  <c r="AA24" i="39"/>
  <c r="AN24" i="39" s="1"/>
  <c r="AK24" i="39"/>
  <c r="AM22" i="39" l="1"/>
  <c r="AM23" i="39"/>
  <c r="AM24" i="39"/>
  <c r="A25" i="39"/>
  <c r="B25" i="39" s="1"/>
  <c r="C25" i="39"/>
  <c r="E25" i="39"/>
  <c r="Z25" i="39"/>
  <c r="AA25" i="39"/>
  <c r="AN25" i="39" s="1"/>
  <c r="AK25" i="39"/>
  <c r="AM25" i="39" l="1"/>
  <c r="A26" i="39" l="1"/>
  <c r="B26" i="39" s="1"/>
  <c r="C26" i="39"/>
  <c r="E26" i="39"/>
  <c r="Z26" i="39"/>
  <c r="AK26" i="39"/>
  <c r="AN26" i="39"/>
  <c r="AM26" i="39" l="1"/>
  <c r="A27" i="39"/>
  <c r="B27" i="39" s="1"/>
  <c r="C27" i="39"/>
  <c r="E27" i="39"/>
  <c r="Z27" i="39"/>
  <c r="AK27" i="39"/>
  <c r="AN27" i="39"/>
  <c r="AM27" i="39" l="1"/>
  <c r="A28" i="39"/>
  <c r="B28" i="39" s="1"/>
  <c r="C28" i="39"/>
  <c r="E28" i="39"/>
  <c r="Z28" i="39"/>
  <c r="AK28" i="39"/>
  <c r="AM28" i="39" s="1"/>
  <c r="AN28" i="39"/>
  <c r="A29" i="39"/>
  <c r="B29" i="39" s="1"/>
  <c r="C29" i="39"/>
  <c r="E29" i="39"/>
  <c r="AA29" i="39" s="1"/>
  <c r="AN29" i="39" s="1"/>
  <c r="Z29" i="39"/>
  <c r="AK29" i="39"/>
  <c r="AM29" i="39" l="1"/>
  <c r="A30" i="39"/>
  <c r="B30" i="39" s="1"/>
  <c r="C30" i="39"/>
  <c r="E30" i="39"/>
  <c r="AA30" i="39" s="1"/>
  <c r="AN30" i="39" s="1"/>
  <c r="O30" i="39"/>
  <c r="Z30" i="39"/>
  <c r="AK30" i="39"/>
  <c r="AM30" i="39" l="1"/>
  <c r="A31" i="39"/>
  <c r="B31" i="39" s="1"/>
  <c r="C31" i="39"/>
  <c r="E31" i="39"/>
  <c r="O31" i="39"/>
  <c r="Z31" i="39"/>
  <c r="AA31" i="39"/>
  <c r="AN31" i="39" s="1"/>
  <c r="AK31" i="39"/>
  <c r="AM31" i="39" l="1"/>
  <c r="A32" i="39"/>
  <c r="B32" i="39"/>
  <c r="C32" i="39"/>
  <c r="E32" i="39"/>
  <c r="O32" i="39"/>
  <c r="Z32" i="39"/>
  <c r="AA32" i="39"/>
  <c r="AN32" i="39" s="1"/>
  <c r="AK32" i="39"/>
  <c r="AM32" i="39" l="1"/>
  <c r="A33" i="39"/>
  <c r="B33" i="39"/>
  <c r="C33" i="39"/>
  <c r="E33" i="39"/>
  <c r="O33" i="39"/>
  <c r="Z33" i="39" s="1"/>
  <c r="AA33" i="39"/>
  <c r="AN33" i="39" s="1"/>
  <c r="AK33" i="39"/>
  <c r="A34" i="39"/>
  <c r="B34" i="39"/>
  <c r="C34" i="39"/>
  <c r="E34" i="39"/>
  <c r="AA34" i="39" s="1"/>
  <c r="AN34" i="39" s="1"/>
  <c r="Z34" i="39"/>
  <c r="AK34" i="39"/>
  <c r="A35" i="39"/>
  <c r="B35" i="39" s="1"/>
  <c r="C35" i="39"/>
  <c r="E35" i="39"/>
  <c r="AA35" i="39" s="1"/>
  <c r="AN35" i="39" s="1"/>
  <c r="O35" i="39"/>
  <c r="Z35" i="39" s="1"/>
  <c r="AK35" i="39"/>
  <c r="A36" i="39"/>
  <c r="B36" i="39" s="1"/>
  <c r="C36" i="39"/>
  <c r="E36" i="39"/>
  <c r="Z36" i="39"/>
  <c r="AA36" i="39"/>
  <c r="AN36" i="39" s="1"/>
  <c r="AK36" i="39"/>
  <c r="A37" i="39"/>
  <c r="B37" i="39" s="1"/>
  <c r="C37" i="39"/>
  <c r="E37" i="39"/>
  <c r="Z37" i="39"/>
  <c r="AA37" i="39"/>
  <c r="AN37" i="39" s="1"/>
  <c r="AK37" i="39"/>
  <c r="AM35" i="39" l="1"/>
  <c r="AM33" i="39"/>
  <c r="AM36" i="39"/>
  <c r="AM34" i="39"/>
  <c r="AM37" i="39"/>
  <c r="A38" i="39"/>
  <c r="B38" i="39"/>
  <c r="C38" i="39"/>
  <c r="E38" i="39"/>
  <c r="Z38" i="39"/>
  <c r="AA38" i="39"/>
  <c r="AN38" i="39" s="1"/>
  <c r="AK38" i="39"/>
  <c r="AM38" i="39" l="1"/>
  <c r="A39" i="39"/>
  <c r="B39" i="39" s="1"/>
  <c r="C39" i="39"/>
  <c r="E39" i="39"/>
  <c r="O39" i="39"/>
  <c r="Z39" i="39" s="1"/>
  <c r="AK39" i="39"/>
  <c r="AN39" i="39"/>
  <c r="A40" i="39"/>
  <c r="B40" i="39" s="1"/>
  <c r="C40" i="39"/>
  <c r="E40" i="39"/>
  <c r="Z40" i="39"/>
  <c r="AK40" i="39"/>
  <c r="AM40" i="39" s="1"/>
  <c r="AN40" i="39"/>
  <c r="P129" i="39"/>
  <c r="Z129" i="39" s="1"/>
  <c r="AB129" i="39"/>
  <c r="AK129" i="39" s="1"/>
  <c r="AE131" i="39"/>
  <c r="AK131" i="39" s="1"/>
  <c r="O128" i="39"/>
  <c r="Z128" i="39" s="1"/>
  <c r="A123" i="39"/>
  <c r="B123" i="39" s="1"/>
  <c r="A124" i="39"/>
  <c r="B124" i="39" s="1"/>
  <c r="A125" i="39"/>
  <c r="A126" i="39"/>
  <c r="A127" i="39"/>
  <c r="A128" i="39"/>
  <c r="B128" i="39" s="1"/>
  <c r="A129" i="39"/>
  <c r="B129" i="39" s="1"/>
  <c r="A130" i="39"/>
  <c r="B130" i="39" s="1"/>
  <c r="A131" i="39"/>
  <c r="B131" i="39" s="1"/>
  <c r="A132" i="39"/>
  <c r="B132" i="39" s="1"/>
  <c r="B125" i="39"/>
  <c r="B126" i="39"/>
  <c r="B127" i="39"/>
  <c r="C123" i="39"/>
  <c r="C124" i="39"/>
  <c r="C125" i="39"/>
  <c r="C126" i="39"/>
  <c r="C127" i="39"/>
  <c r="C128" i="39"/>
  <c r="C129" i="39"/>
  <c r="C130" i="39"/>
  <c r="C131" i="39"/>
  <c r="C132" i="39"/>
  <c r="E123" i="39"/>
  <c r="E124" i="39"/>
  <c r="AA124" i="39" s="1"/>
  <c r="AN124" i="39" s="1"/>
  <c r="E125" i="39"/>
  <c r="E126" i="39"/>
  <c r="E127" i="39"/>
  <c r="E128" i="39"/>
  <c r="AA128" i="39" s="1"/>
  <c r="AN128" i="39" s="1"/>
  <c r="E129" i="39"/>
  <c r="E130" i="39"/>
  <c r="AA130" i="39" s="1"/>
  <c r="AN130" i="39" s="1"/>
  <c r="E131" i="39"/>
  <c r="AA131" i="39" s="1"/>
  <c r="AN131" i="39" s="1"/>
  <c r="E132" i="39"/>
  <c r="Z123" i="39"/>
  <c r="Z124" i="39"/>
  <c r="Z125" i="39"/>
  <c r="Z126" i="39"/>
  <c r="Z127" i="39"/>
  <c r="Z130" i="39"/>
  <c r="Z131" i="39"/>
  <c r="Z132" i="39"/>
  <c r="AA125" i="39"/>
  <c r="AN125" i="39" s="1"/>
  <c r="AN126" i="39"/>
  <c r="AN127" i="39"/>
  <c r="AN129" i="39"/>
  <c r="AN132" i="39"/>
  <c r="AK123" i="39"/>
  <c r="AK124" i="39"/>
  <c r="AK125" i="39"/>
  <c r="AK126" i="39"/>
  <c r="AK127" i="39"/>
  <c r="AK128" i="39"/>
  <c r="AK130" i="39"/>
  <c r="AK132" i="39"/>
  <c r="AN123" i="39"/>
  <c r="O116" i="39"/>
  <c r="Z116" i="39" s="1"/>
  <c r="O115" i="39"/>
  <c r="Z115" i="39" s="1"/>
  <c r="O113" i="39"/>
  <c r="Z113" i="39" s="1"/>
  <c r="A113" i="39"/>
  <c r="B113" i="39" s="1"/>
  <c r="A114" i="39"/>
  <c r="B114" i="39" s="1"/>
  <c r="A115" i="39"/>
  <c r="B115" i="39" s="1"/>
  <c r="A116" i="39"/>
  <c r="B116" i="39" s="1"/>
  <c r="A117" i="39"/>
  <c r="B117" i="39" s="1"/>
  <c r="A118" i="39"/>
  <c r="B118" i="39" s="1"/>
  <c r="A119" i="39"/>
  <c r="B119" i="39" s="1"/>
  <c r="A120" i="39"/>
  <c r="B120" i="39" s="1"/>
  <c r="A121" i="39"/>
  <c r="B121" i="39" s="1"/>
  <c r="A122" i="39"/>
  <c r="B122" i="39" s="1"/>
  <c r="C113" i="39"/>
  <c r="C114" i="39"/>
  <c r="C115" i="39"/>
  <c r="C116" i="39"/>
  <c r="C117" i="39"/>
  <c r="C118" i="39"/>
  <c r="C119" i="39"/>
  <c r="C120" i="39"/>
  <c r="C121" i="39"/>
  <c r="C122" i="39"/>
  <c r="E113" i="39"/>
  <c r="AA113" i="39" s="1"/>
  <c r="AN113" i="39" s="1"/>
  <c r="E114" i="39"/>
  <c r="E115" i="39"/>
  <c r="AA115" i="39" s="1"/>
  <c r="AN115" i="39" s="1"/>
  <c r="E116" i="39"/>
  <c r="AA116" i="39" s="1"/>
  <c r="AN116" i="39" s="1"/>
  <c r="E117" i="39"/>
  <c r="E118" i="39"/>
  <c r="E119" i="39"/>
  <c r="AA119" i="39" s="1"/>
  <c r="AN119" i="39" s="1"/>
  <c r="E120" i="39"/>
  <c r="E121" i="39"/>
  <c r="AA121" i="39" s="1"/>
  <c r="AN121" i="39" s="1"/>
  <c r="E122" i="39"/>
  <c r="AA122" i="39" s="1"/>
  <c r="AN122" i="39" s="1"/>
  <c r="Z114" i="39"/>
  <c r="Z117" i="39"/>
  <c r="Z118" i="39"/>
  <c r="Z119" i="39"/>
  <c r="Z120" i="39"/>
  <c r="Z121" i="39"/>
  <c r="Z122" i="39"/>
  <c r="AN114" i="39"/>
  <c r="AA117" i="39"/>
  <c r="AN117" i="39" s="1"/>
  <c r="AN118" i="39"/>
  <c r="AA120" i="39"/>
  <c r="AN120" i="39" s="1"/>
  <c r="AK113" i="39"/>
  <c r="AK114" i="39"/>
  <c r="AK115" i="39"/>
  <c r="AK116" i="39"/>
  <c r="AK117" i="39"/>
  <c r="AK118" i="39"/>
  <c r="AK119" i="39"/>
  <c r="AK120" i="39"/>
  <c r="AK121" i="39"/>
  <c r="AK122" i="39"/>
  <c r="W138" i="39"/>
  <c r="O112" i="39"/>
  <c r="Z112" i="39" s="1"/>
  <c r="O111" i="39"/>
  <c r="Z111" i="39" s="1"/>
  <c r="W104" i="39"/>
  <c r="Z104" i="39" s="1"/>
  <c r="A99" i="39"/>
  <c r="B99" i="39" s="1"/>
  <c r="A100" i="39"/>
  <c r="B100" i="39" s="1"/>
  <c r="A101" i="39"/>
  <c r="B101" i="39" s="1"/>
  <c r="A102" i="39"/>
  <c r="B102" i="39" s="1"/>
  <c r="A103" i="39"/>
  <c r="B103" i="39" s="1"/>
  <c r="A104" i="39"/>
  <c r="B104" i="39" s="1"/>
  <c r="A105" i="39"/>
  <c r="B105" i="39" s="1"/>
  <c r="A106" i="39"/>
  <c r="B106" i="39" s="1"/>
  <c r="A107" i="39"/>
  <c r="B107" i="39" s="1"/>
  <c r="A108" i="39"/>
  <c r="B108" i="39" s="1"/>
  <c r="A109" i="39"/>
  <c r="B109" i="39" s="1"/>
  <c r="A110" i="39"/>
  <c r="B110" i="39" s="1"/>
  <c r="A111" i="39"/>
  <c r="B111" i="39" s="1"/>
  <c r="A112" i="39"/>
  <c r="B112" i="39" s="1"/>
  <c r="C99" i="39"/>
  <c r="C100" i="39"/>
  <c r="C101" i="39"/>
  <c r="C102" i="39"/>
  <c r="C103" i="39"/>
  <c r="C104" i="39"/>
  <c r="C105" i="39"/>
  <c r="C106" i="39"/>
  <c r="C107" i="39"/>
  <c r="C108" i="39"/>
  <c r="C109" i="39"/>
  <c r="C110" i="39"/>
  <c r="C111" i="39"/>
  <c r="C112" i="39"/>
  <c r="E99" i="39"/>
  <c r="E100" i="39"/>
  <c r="AA100" i="39" s="1"/>
  <c r="AN100" i="39" s="1"/>
  <c r="E101" i="39"/>
  <c r="E102" i="39"/>
  <c r="AA102" i="39" s="1"/>
  <c r="AN102" i="39" s="1"/>
  <c r="E103" i="39"/>
  <c r="AA103" i="39" s="1"/>
  <c r="AN103" i="39" s="1"/>
  <c r="E104" i="39"/>
  <c r="AA104" i="39" s="1"/>
  <c r="AN104" i="39" s="1"/>
  <c r="E105" i="39"/>
  <c r="AA105" i="39" s="1"/>
  <c r="AN105" i="39" s="1"/>
  <c r="E106" i="39"/>
  <c r="AA106" i="39" s="1"/>
  <c r="AN106" i="39" s="1"/>
  <c r="E107" i="39"/>
  <c r="E108" i="39"/>
  <c r="AA108" i="39" s="1"/>
  <c r="AN108" i="39" s="1"/>
  <c r="E109" i="39"/>
  <c r="AA109" i="39" s="1"/>
  <c r="AN109" i="39" s="1"/>
  <c r="E110" i="39"/>
  <c r="E111" i="39"/>
  <c r="AA111" i="39" s="1"/>
  <c r="AN111" i="39" s="1"/>
  <c r="E112" i="39"/>
  <c r="AA112" i="39" s="1"/>
  <c r="AN112" i="39" s="1"/>
  <c r="Z99" i="39"/>
  <c r="Z100" i="39"/>
  <c r="Z101" i="39"/>
  <c r="Z102" i="39"/>
  <c r="Z103" i="39"/>
  <c r="Z105" i="39"/>
  <c r="Z106" i="39"/>
  <c r="Z107" i="39"/>
  <c r="Z108" i="39"/>
  <c r="Z109" i="39"/>
  <c r="Z110" i="39"/>
  <c r="AN99" i="39"/>
  <c r="AA101" i="39"/>
  <c r="AN101" i="39" s="1"/>
  <c r="AA107" i="39"/>
  <c r="AN107" i="39" s="1"/>
  <c r="AA110" i="39"/>
  <c r="AN110" i="39" s="1"/>
  <c r="AK99" i="39"/>
  <c r="AK100" i="39"/>
  <c r="AK101" i="39"/>
  <c r="AK102" i="39"/>
  <c r="AK103" i="39"/>
  <c r="AK104" i="39"/>
  <c r="AK105" i="39"/>
  <c r="AK106" i="39"/>
  <c r="AK107" i="39"/>
  <c r="AK108" i="39"/>
  <c r="AK109" i="39"/>
  <c r="AK110" i="39"/>
  <c r="AK111" i="39"/>
  <c r="AK112" i="39"/>
  <c r="O95" i="39"/>
  <c r="Z95" i="39" s="1"/>
  <c r="A98" i="39"/>
  <c r="B98" i="39" s="1"/>
  <c r="C98" i="39"/>
  <c r="E98" i="39"/>
  <c r="Z98" i="39"/>
  <c r="AN98" i="39"/>
  <c r="AK98" i="39"/>
  <c r="A89" i="39"/>
  <c r="B89" i="39" s="1"/>
  <c r="A90" i="39"/>
  <c r="B90" i="39" s="1"/>
  <c r="A91" i="39"/>
  <c r="B91" i="39" s="1"/>
  <c r="A92" i="39"/>
  <c r="B92" i="39" s="1"/>
  <c r="A93" i="39"/>
  <c r="B93" i="39" s="1"/>
  <c r="A94" i="39"/>
  <c r="B94" i="39" s="1"/>
  <c r="A95" i="39"/>
  <c r="B95" i="39" s="1"/>
  <c r="A96" i="39"/>
  <c r="B96" i="39" s="1"/>
  <c r="A97" i="39"/>
  <c r="B97" i="39" s="1"/>
  <c r="C89" i="39"/>
  <c r="C90" i="39"/>
  <c r="C91" i="39"/>
  <c r="C92" i="39"/>
  <c r="C93" i="39"/>
  <c r="C94" i="39"/>
  <c r="C95" i="39"/>
  <c r="C96" i="39"/>
  <c r="C97" i="39"/>
  <c r="E89" i="39"/>
  <c r="AA89" i="39" s="1"/>
  <c r="AN89" i="39" s="1"/>
  <c r="E90" i="39"/>
  <c r="E91" i="39"/>
  <c r="E92" i="39"/>
  <c r="E93" i="39"/>
  <c r="AA93" i="39" s="1"/>
  <c r="AN93" i="39" s="1"/>
  <c r="E94" i="39"/>
  <c r="E95" i="39"/>
  <c r="AA95" i="39" s="1"/>
  <c r="AN95" i="39" s="1"/>
  <c r="E96" i="39"/>
  <c r="E97" i="39"/>
  <c r="AA97" i="39" s="1"/>
  <c r="AN97" i="39" s="1"/>
  <c r="Z89" i="39"/>
  <c r="Z90" i="39"/>
  <c r="Z91" i="39"/>
  <c r="Z92" i="39"/>
  <c r="Z93" i="39"/>
  <c r="Z94" i="39"/>
  <c r="Z96" i="39"/>
  <c r="Z97" i="39"/>
  <c r="AA90" i="39"/>
  <c r="AN90" i="39" s="1"/>
  <c r="AA91" i="39"/>
  <c r="AN91" i="39" s="1"/>
  <c r="AA92" i="39"/>
  <c r="AN92" i="39" s="1"/>
  <c r="AA94" i="39"/>
  <c r="AN94" i="39" s="1"/>
  <c r="AA96" i="39"/>
  <c r="AN96" i="39" s="1"/>
  <c r="AK89" i="39"/>
  <c r="AK90" i="39"/>
  <c r="AK91" i="39"/>
  <c r="AK92" i="39"/>
  <c r="AK93" i="39"/>
  <c r="AK94" i="39"/>
  <c r="AK95" i="39"/>
  <c r="AK96" i="39"/>
  <c r="AK97" i="39"/>
  <c r="O88" i="39"/>
  <c r="Z88" i="39" s="1"/>
  <c r="O87" i="39"/>
  <c r="Z87" i="39" s="1"/>
  <c r="AB84" i="39"/>
  <c r="AK84" i="39" s="1"/>
  <c r="O83" i="39"/>
  <c r="Z83" i="39" s="1"/>
  <c r="O82" i="39"/>
  <c r="Z82" i="39" s="1"/>
  <c r="A82" i="39"/>
  <c r="B82" i="39" s="1"/>
  <c r="A83" i="39"/>
  <c r="B83" i="39" s="1"/>
  <c r="A84" i="39"/>
  <c r="B84" i="39" s="1"/>
  <c r="A85" i="39"/>
  <c r="B85" i="39" s="1"/>
  <c r="A86" i="39"/>
  <c r="B86" i="39" s="1"/>
  <c r="A87" i="39"/>
  <c r="B87" i="39" s="1"/>
  <c r="A88" i="39"/>
  <c r="B88" i="39" s="1"/>
  <c r="C82" i="39"/>
  <c r="C83" i="39"/>
  <c r="C84" i="39"/>
  <c r="C85" i="39"/>
  <c r="C86" i="39"/>
  <c r="C87" i="39"/>
  <c r="C88" i="39"/>
  <c r="E82" i="39"/>
  <c r="AN82" i="39" s="1"/>
  <c r="E83" i="39"/>
  <c r="E84" i="39"/>
  <c r="AA84" i="39" s="1"/>
  <c r="AN84" i="39" s="1"/>
  <c r="E85" i="39"/>
  <c r="E86" i="39"/>
  <c r="E87" i="39"/>
  <c r="AA87" i="39" s="1"/>
  <c r="AN87" i="39" s="1"/>
  <c r="E88" i="39"/>
  <c r="Z84" i="39"/>
  <c r="Z85" i="39"/>
  <c r="Z86" i="39"/>
  <c r="AN83" i="39"/>
  <c r="AA85" i="39"/>
  <c r="AN85" i="39" s="1"/>
  <c r="AA86" i="39"/>
  <c r="AN86" i="39" s="1"/>
  <c r="AN88" i="39"/>
  <c r="AK82" i="39"/>
  <c r="AK83" i="39"/>
  <c r="AK85" i="39"/>
  <c r="AK86" i="39"/>
  <c r="AK87" i="39"/>
  <c r="AK88" i="39"/>
  <c r="J149" i="39"/>
  <c r="J150" i="39" s="1"/>
  <c r="AM39" i="39" l="1"/>
  <c r="AM117" i="39"/>
  <c r="AM116" i="39"/>
  <c r="AM123" i="39"/>
  <c r="AM132" i="39"/>
  <c r="AM131" i="39"/>
  <c r="AM130" i="39"/>
  <c r="AM127" i="39"/>
  <c r="AM126" i="39"/>
  <c r="AM125" i="39"/>
  <c r="AM129" i="39"/>
  <c r="AM128" i="39"/>
  <c r="AM124" i="39"/>
  <c r="AM114" i="39"/>
  <c r="AM120" i="39"/>
  <c r="AM119" i="39"/>
  <c r="AM121" i="39"/>
  <c r="AM115" i="39"/>
  <c r="AM118" i="39"/>
  <c r="AM122" i="39"/>
  <c r="AM113" i="39"/>
  <c r="AM110" i="39"/>
  <c r="AM108" i="39"/>
  <c r="AM107" i="39"/>
  <c r="AM102" i="39"/>
  <c r="AM112" i="39"/>
  <c r="AM111" i="39"/>
  <c r="AM104" i="39"/>
  <c r="AM103" i="39"/>
  <c r="AM100" i="39"/>
  <c r="AM99" i="39"/>
  <c r="AM109" i="39"/>
  <c r="AM101" i="39"/>
  <c r="AM106" i="39"/>
  <c r="AM105" i="39"/>
  <c r="AM98" i="39"/>
  <c r="AM94" i="39"/>
  <c r="AM93" i="39"/>
  <c r="AM90" i="39"/>
  <c r="AM92" i="39"/>
  <c r="AM91" i="39"/>
  <c r="AM95" i="39"/>
  <c r="AM89" i="39"/>
  <c r="AM96" i="39"/>
  <c r="AM97" i="39"/>
  <c r="AM83" i="39"/>
  <c r="AM86" i="39"/>
  <c r="AM88" i="39"/>
  <c r="AM87" i="39"/>
  <c r="AM82" i="39"/>
  <c r="AM85" i="39"/>
  <c r="AM84" i="39"/>
  <c r="A70" i="39"/>
  <c r="B70" i="39" s="1"/>
  <c r="C70" i="39"/>
  <c r="E70" i="39"/>
  <c r="Z70" i="39"/>
  <c r="AA70" i="39"/>
  <c r="AN70" i="39" s="1"/>
  <c r="AK70" i="39"/>
  <c r="AA81" i="39"/>
  <c r="AN81" i="39" s="1"/>
  <c r="AA80" i="39"/>
  <c r="AN80" i="39" s="1"/>
  <c r="AA79" i="39"/>
  <c r="AN79" i="39" s="1"/>
  <c r="AA78" i="39"/>
  <c r="AN78" i="39" s="1"/>
  <c r="AA77" i="39"/>
  <c r="AN77" i="39" s="1"/>
  <c r="AA69" i="39"/>
  <c r="AN69" i="39" s="1"/>
  <c r="AA68" i="39"/>
  <c r="AN68" i="39" s="1"/>
  <c r="AA67" i="39"/>
  <c r="AN67" i="39" s="1"/>
  <c r="AA66" i="39"/>
  <c r="AN66" i="39" s="1"/>
  <c r="AA65" i="39"/>
  <c r="AN65" i="39" s="1"/>
  <c r="AA64" i="39"/>
  <c r="AN64" i="39" s="1"/>
  <c r="AA55" i="39"/>
  <c r="AN55" i="39" s="1"/>
  <c r="AA54" i="39"/>
  <c r="AN54" i="39" s="1"/>
  <c r="AA53" i="39"/>
  <c r="AN53" i="39" s="1"/>
  <c r="AA52" i="39"/>
  <c r="AN52" i="39" s="1"/>
  <c r="AA45" i="39"/>
  <c r="AN45" i="39" s="1"/>
  <c r="AA44" i="39"/>
  <c r="AN44" i="39" s="1"/>
  <c r="O73" i="39"/>
  <c r="Z73" i="39" s="1"/>
  <c r="O72" i="39"/>
  <c r="Z72" i="39" s="1"/>
  <c r="O75" i="39"/>
  <c r="Z75" i="39" s="1"/>
  <c r="O59" i="39"/>
  <c r="Z59" i="39" s="1"/>
  <c r="O58" i="39"/>
  <c r="Z58" i="39" s="1"/>
  <c r="O49" i="39"/>
  <c r="Z49" i="39" s="1"/>
  <c r="O48" i="39"/>
  <c r="Z48" i="39" s="1"/>
  <c r="O43" i="39"/>
  <c r="Z43" i="39" s="1"/>
  <c r="E41" i="39"/>
  <c r="AA41" i="39" s="1"/>
  <c r="E44" i="39"/>
  <c r="E45" i="39"/>
  <c r="E42" i="39"/>
  <c r="AA42" i="39" s="1"/>
  <c r="AN42" i="39" s="1"/>
  <c r="E43" i="39"/>
  <c r="AA43" i="39" s="1"/>
  <c r="AN43" i="39" s="1"/>
  <c r="E52" i="39"/>
  <c r="E53" i="39"/>
  <c r="E48" i="39"/>
  <c r="AA48" i="39" s="1"/>
  <c r="AN48" i="39" s="1"/>
  <c r="E49" i="39"/>
  <c r="AA49" i="39" s="1"/>
  <c r="AN49" i="39" s="1"/>
  <c r="E50" i="39"/>
  <c r="AA50" i="39" s="1"/>
  <c r="AN50" i="39" s="1"/>
  <c r="E54" i="39"/>
  <c r="E55" i="39"/>
  <c r="E46" i="39"/>
  <c r="E51" i="39"/>
  <c r="AA51" i="39" s="1"/>
  <c r="AN51" i="39" s="1"/>
  <c r="E47" i="39"/>
  <c r="E58" i="39"/>
  <c r="AA58" i="39" s="1"/>
  <c r="AN58" i="39" s="1"/>
  <c r="E59" i="39"/>
  <c r="AA59" i="39" s="1"/>
  <c r="AN59" i="39" s="1"/>
  <c r="E64" i="39"/>
  <c r="E65" i="39"/>
  <c r="E66" i="39"/>
  <c r="E67" i="39"/>
  <c r="E56" i="39"/>
  <c r="E68" i="39"/>
  <c r="E69" i="39"/>
  <c r="E60" i="39"/>
  <c r="AA60" i="39" s="1"/>
  <c r="AN60" i="39" s="1"/>
  <c r="E61" i="39"/>
  <c r="AA61" i="39" s="1"/>
  <c r="AN61" i="39" s="1"/>
  <c r="E62" i="39"/>
  <c r="AA62" i="39" s="1"/>
  <c r="AN62" i="39" s="1"/>
  <c r="E63" i="39"/>
  <c r="AA63" i="39" s="1"/>
  <c r="AN63" i="39" s="1"/>
  <c r="E57" i="39"/>
  <c r="E74" i="39"/>
  <c r="AA74" i="39" s="1"/>
  <c r="AN74" i="39" s="1"/>
  <c r="E77" i="39"/>
  <c r="E78" i="39"/>
  <c r="E75" i="39"/>
  <c r="AA75" i="39" s="1"/>
  <c r="AN75" i="39" s="1"/>
  <c r="E79" i="39"/>
  <c r="E71" i="39"/>
  <c r="E72" i="39"/>
  <c r="E73" i="39"/>
  <c r="E80" i="39"/>
  <c r="E81" i="39"/>
  <c r="E76" i="39"/>
  <c r="AA76" i="39" s="1"/>
  <c r="AN76" i="39" s="1"/>
  <c r="A41" i="39"/>
  <c r="B41" i="39" s="1"/>
  <c r="A44" i="39"/>
  <c r="B44" i="39" s="1"/>
  <c r="A45" i="39"/>
  <c r="B45" i="39" s="1"/>
  <c r="A42" i="39"/>
  <c r="B42" i="39" s="1"/>
  <c r="A43" i="39"/>
  <c r="B43" i="39" s="1"/>
  <c r="A52" i="39"/>
  <c r="B52" i="39" s="1"/>
  <c r="A53" i="39"/>
  <c r="B53" i="39" s="1"/>
  <c r="A48" i="39"/>
  <c r="B48" i="39" s="1"/>
  <c r="A49" i="39"/>
  <c r="B49" i="39" s="1"/>
  <c r="A50" i="39"/>
  <c r="B50" i="39" s="1"/>
  <c r="A54" i="39"/>
  <c r="B54" i="39" s="1"/>
  <c r="A55" i="39"/>
  <c r="B55" i="39" s="1"/>
  <c r="A46" i="39"/>
  <c r="B46" i="39" s="1"/>
  <c r="A51" i="39"/>
  <c r="B51" i="39" s="1"/>
  <c r="A47" i="39"/>
  <c r="B47" i="39" s="1"/>
  <c r="A58" i="39"/>
  <c r="B58" i="39" s="1"/>
  <c r="A59" i="39"/>
  <c r="B59" i="39" s="1"/>
  <c r="A64" i="39"/>
  <c r="B64" i="39" s="1"/>
  <c r="A65" i="39"/>
  <c r="B65" i="39" s="1"/>
  <c r="A66" i="39"/>
  <c r="B66" i="39" s="1"/>
  <c r="A67" i="39"/>
  <c r="B67" i="39" s="1"/>
  <c r="A56" i="39"/>
  <c r="B56" i="39" s="1"/>
  <c r="A68" i="39"/>
  <c r="B68" i="39" s="1"/>
  <c r="A69" i="39"/>
  <c r="B69" i="39" s="1"/>
  <c r="A60" i="39"/>
  <c r="B60" i="39" s="1"/>
  <c r="A61" i="39"/>
  <c r="B61" i="39" s="1"/>
  <c r="A62" i="39"/>
  <c r="B62" i="39" s="1"/>
  <c r="A63" i="39"/>
  <c r="B63" i="39" s="1"/>
  <c r="A57" i="39"/>
  <c r="B57" i="39" s="1"/>
  <c r="A74" i="39"/>
  <c r="B74" i="39" s="1"/>
  <c r="A77" i="39"/>
  <c r="B77" i="39" s="1"/>
  <c r="A78" i="39"/>
  <c r="B78" i="39" s="1"/>
  <c r="A75" i="39"/>
  <c r="B75" i="39" s="1"/>
  <c r="A79" i="39"/>
  <c r="B79" i="39" s="1"/>
  <c r="A71" i="39"/>
  <c r="B71" i="39" s="1"/>
  <c r="A72" i="39"/>
  <c r="B72" i="39" s="1"/>
  <c r="A73" i="39"/>
  <c r="B73" i="39" s="1"/>
  <c r="A80" i="39"/>
  <c r="B80" i="39" s="1"/>
  <c r="A81" i="39"/>
  <c r="B81" i="39" s="1"/>
  <c r="A76" i="39"/>
  <c r="B76" i="39" s="1"/>
  <c r="C41" i="39"/>
  <c r="C44" i="39"/>
  <c r="C45" i="39"/>
  <c r="C42" i="39"/>
  <c r="C43" i="39"/>
  <c r="C52" i="39"/>
  <c r="C53" i="39"/>
  <c r="C48" i="39"/>
  <c r="C49" i="39"/>
  <c r="C50" i="39"/>
  <c r="C54" i="39"/>
  <c r="C55" i="39"/>
  <c r="C46" i="39"/>
  <c r="C51" i="39"/>
  <c r="C47" i="39"/>
  <c r="C58" i="39"/>
  <c r="C59" i="39"/>
  <c r="C64" i="39"/>
  <c r="C65" i="39"/>
  <c r="C66" i="39"/>
  <c r="C67" i="39"/>
  <c r="C56" i="39"/>
  <c r="C68" i="39"/>
  <c r="C69" i="39"/>
  <c r="C60" i="39"/>
  <c r="C61" i="39"/>
  <c r="C62" i="39"/>
  <c r="C63" i="39"/>
  <c r="C57" i="39"/>
  <c r="C74" i="39"/>
  <c r="C77" i="39"/>
  <c r="C78" i="39"/>
  <c r="C75" i="39"/>
  <c r="C79" i="39"/>
  <c r="C71" i="39"/>
  <c r="C72" i="39"/>
  <c r="C73" i="39"/>
  <c r="C80" i="39"/>
  <c r="C81" i="39"/>
  <c r="C76" i="39"/>
  <c r="Z41" i="39"/>
  <c r="Z44" i="39"/>
  <c r="Z45" i="39"/>
  <c r="Z42" i="39"/>
  <c r="Z52" i="39"/>
  <c r="Z53" i="39"/>
  <c r="Z50" i="39"/>
  <c r="Z54" i="39"/>
  <c r="Z55" i="39"/>
  <c r="Z46" i="39"/>
  <c r="Z51" i="39"/>
  <c r="Z47" i="39"/>
  <c r="Z64" i="39"/>
  <c r="Z65" i="39"/>
  <c r="Z66" i="39"/>
  <c r="Z67" i="39"/>
  <c r="Z56" i="39"/>
  <c r="Z68" i="39"/>
  <c r="Z69" i="39"/>
  <c r="Z60" i="39"/>
  <c r="Z61" i="39"/>
  <c r="Z62" i="39"/>
  <c r="Z63" i="39"/>
  <c r="Z57" i="39"/>
  <c r="Z74" i="39"/>
  <c r="Z77" i="39"/>
  <c r="Z78" i="39"/>
  <c r="Z79" i="39"/>
  <c r="Z71" i="39"/>
  <c r="Z80" i="39"/>
  <c r="Z81" i="39"/>
  <c r="Z76" i="39"/>
  <c r="AN56" i="39"/>
  <c r="AN71" i="39"/>
  <c r="AN72" i="39"/>
  <c r="AK41" i="39"/>
  <c r="AK44" i="39"/>
  <c r="AK45" i="39"/>
  <c r="AK42" i="39"/>
  <c r="AK43" i="39"/>
  <c r="AK52" i="39"/>
  <c r="AK53" i="39"/>
  <c r="AK48" i="39"/>
  <c r="AK49" i="39"/>
  <c r="AK50" i="39"/>
  <c r="AK54" i="39"/>
  <c r="AK55" i="39"/>
  <c r="AK46" i="39"/>
  <c r="AK51" i="39"/>
  <c r="AK47" i="39"/>
  <c r="AK58" i="39"/>
  <c r="AK59" i="39"/>
  <c r="AK64" i="39"/>
  <c r="AK65" i="39"/>
  <c r="AK66" i="39"/>
  <c r="AK67" i="39"/>
  <c r="AK56" i="39"/>
  <c r="AK68" i="39"/>
  <c r="AK69" i="39"/>
  <c r="AK60" i="39"/>
  <c r="AK61" i="39"/>
  <c r="AK62" i="39"/>
  <c r="AK63" i="39"/>
  <c r="AK57" i="39"/>
  <c r="AK74" i="39"/>
  <c r="AK77" i="39"/>
  <c r="AK78" i="39"/>
  <c r="AK75" i="39"/>
  <c r="AK79" i="39"/>
  <c r="AK71" i="39"/>
  <c r="AK72" i="39"/>
  <c r="AK73" i="39"/>
  <c r="AK80" i="39"/>
  <c r="AK81" i="39"/>
  <c r="AK76" i="39"/>
  <c r="AN46" i="39"/>
  <c r="AN47" i="39"/>
  <c r="AN57" i="39"/>
  <c r="AN73" i="39"/>
  <c r="AM70" i="39" l="1"/>
  <c r="AM63" i="39"/>
  <c r="AM66" i="39"/>
  <c r="AM55" i="39"/>
  <c r="AM68" i="39"/>
  <c r="AM77" i="39"/>
  <c r="AM47" i="39"/>
  <c r="AM71" i="39"/>
  <c r="AM62" i="39"/>
  <c r="AM65" i="39"/>
  <c r="AM54" i="39"/>
  <c r="AM67" i="39"/>
  <c r="AM81" i="39"/>
  <c r="AM41" i="39"/>
  <c r="AM72" i="39"/>
  <c r="AM53" i="39"/>
  <c r="AM42" i="39"/>
  <c r="AM73" i="39"/>
  <c r="AM57" i="39"/>
  <c r="AM46" i="39"/>
  <c r="AM43" i="39"/>
  <c r="AM48" i="39"/>
  <c r="AM76" i="39"/>
  <c r="AM78" i="39"/>
  <c r="AM69" i="39"/>
  <c r="AM58" i="39"/>
  <c r="AN41" i="39"/>
  <c r="AM80" i="39"/>
  <c r="AM74" i="39"/>
  <c r="AM56" i="39"/>
  <c r="AM52" i="39"/>
  <c r="AM51" i="39"/>
  <c r="AM79" i="39"/>
  <c r="AM61" i="39"/>
  <c r="AM64" i="39"/>
  <c r="AM50" i="39"/>
  <c r="AM45" i="39"/>
  <c r="AM75" i="39"/>
  <c r="AM60" i="39"/>
  <c r="AM59" i="39"/>
  <c r="AM49" i="39"/>
  <c r="AM44" i="39"/>
  <c r="AB140" i="39" l="1"/>
  <c r="AA146" i="39" l="1"/>
  <c r="AA150" i="39"/>
  <c r="T146" i="39"/>
  <c r="S146" i="39"/>
  <c r="O145" i="39"/>
  <c r="M133" i="39"/>
  <c r="O151" i="39" s="1"/>
  <c r="L133" i="39"/>
  <c r="O150" i="39" s="1"/>
  <c r="H133" i="39" l="1"/>
  <c r="F135" i="39" s="1"/>
  <c r="AK141" i="39"/>
  <c r="H139" i="39" l="1"/>
  <c r="H140" i="39" s="1"/>
  <c r="J133" i="39" l="1"/>
  <c r="P147" i="39" s="1"/>
  <c r="O146" i="39" l="1"/>
  <c r="O147" i="39" s="1"/>
  <c r="K133" i="39" l="1"/>
  <c r="O148" i="39" s="1"/>
  <c r="O149" i="39" s="1"/>
  <c r="AL133" i="39" l="1"/>
  <c r="AE133" i="39"/>
  <c r="AF133" i="39"/>
  <c r="AG133" i="39"/>
  <c r="AH133" i="39"/>
  <c r="AI133" i="39"/>
  <c r="AJ133" i="39"/>
  <c r="AD133" i="39"/>
  <c r="AC133" i="39"/>
  <c r="H142" i="39" l="1"/>
  <c r="H141" i="39"/>
  <c r="D142" i="39"/>
  <c r="D141" i="39"/>
  <c r="D143" i="39" l="1"/>
  <c r="E142" i="39"/>
  <c r="E141" i="39"/>
  <c r="H143" i="39"/>
  <c r="I142" i="39"/>
  <c r="I141" i="39"/>
  <c r="AB133" i="39" l="1"/>
  <c r="I137" i="39" l="1"/>
  <c r="T133" i="39"/>
  <c r="R136" i="39" s="1"/>
  <c r="R135" i="39" s="1"/>
  <c r="U133" i="39"/>
  <c r="S136" i="39" s="1"/>
  <c r="S135" i="39" s="1"/>
  <c r="V133" i="39"/>
  <c r="T136" i="39" s="1"/>
  <c r="T135" i="39" s="1"/>
  <c r="P133" i="39"/>
  <c r="N136" i="39" s="1"/>
  <c r="N135" i="39" s="1"/>
  <c r="K137" i="39"/>
  <c r="J137" i="39"/>
  <c r="N133" i="39" l="1"/>
  <c r="O152" i="39" s="1"/>
  <c r="O153" i="39" s="1"/>
  <c r="R137" i="39"/>
  <c r="T137" i="39"/>
  <c r="S137" i="39"/>
  <c r="W133" i="39"/>
  <c r="F136" i="39" s="1"/>
  <c r="Q133" i="39"/>
  <c r="O136" i="39" s="1"/>
  <c r="O135" i="39" s="1"/>
  <c r="L137" i="39" l="1"/>
  <c r="I138" i="39" s="1"/>
  <c r="R133" i="39"/>
  <c r="P136" i="39" s="1"/>
  <c r="P135" i="39" s="1"/>
  <c r="P137" i="39" s="1"/>
  <c r="O133" i="39"/>
  <c r="AK133" i="39"/>
  <c r="O137" i="39"/>
  <c r="N137" i="39"/>
  <c r="S133" i="39"/>
  <c r="Q136" i="39" s="1"/>
  <c r="X140" i="39" l="1"/>
  <c r="X141" i="39" s="1"/>
  <c r="M136" i="39"/>
  <c r="Q135" i="39"/>
  <c r="Q137" i="39" s="1"/>
  <c r="AM133" i="39"/>
  <c r="AJ134" i="39" s="1"/>
  <c r="Z133" i="39"/>
  <c r="X139" i="39" s="1"/>
  <c r="M135" i="39" l="1"/>
  <c r="M137" i="39" s="1"/>
  <c r="X136" i="39"/>
  <c r="X135" i="39" l="1"/>
</calcChain>
</file>

<file path=xl/sharedStrings.xml><?xml version="1.0" encoding="utf-8"?>
<sst xmlns="http://schemas.openxmlformats.org/spreadsheetml/2006/main" count="509" uniqueCount="207">
  <si>
    <t>TVA</t>
  </si>
  <si>
    <t>TAXE DE SEJOUR</t>
  </si>
  <si>
    <t>AMEX</t>
  </si>
  <si>
    <t>HOTEL LA COUR CARREE</t>
  </si>
  <si>
    <t>TTC</t>
  </si>
  <si>
    <t>HT</t>
  </si>
  <si>
    <t>PKG</t>
  </si>
  <si>
    <t>% TVA</t>
  </si>
  <si>
    <t>CHQ BANCAIRE</t>
  </si>
  <si>
    <t>ACPTE RECU</t>
  </si>
  <si>
    <t>ACPTE RENDU</t>
  </si>
  <si>
    <t>CHAMB.</t>
  </si>
  <si>
    <t>CHQ VAC.</t>
  </si>
  <si>
    <t>TOTAL TTC FACTURE</t>
  </si>
  <si>
    <t>TOTAL TTC ENCAISSE</t>
  </si>
  <si>
    <t>FACTURES</t>
  </si>
  <si>
    <t>VIRMT</t>
  </si>
  <si>
    <t>NOM</t>
  </si>
  <si>
    <t>CB
EMV</t>
  </si>
  <si>
    <t>CB
VAD</t>
  </si>
  <si>
    <t>DIFFERE
RECU</t>
  </si>
  <si>
    <t>DIFFERE
ATTENTE</t>
  </si>
  <si>
    <t>LCC</t>
  </si>
  <si>
    <t>ESPECES</t>
  </si>
  <si>
    <t>CH</t>
  </si>
  <si>
    <t>ALC</t>
  </si>
  <si>
    <t>DIV</t>
  </si>
  <si>
    <t>BOISS</t>
  </si>
  <si>
    <t>PDJ</t>
  </si>
  <si>
    <t>RESTO</t>
  </si>
  <si>
    <t>PRESG</t>
  </si>
  <si>
    <t>TS</t>
  </si>
  <si>
    <t>CB
SS CTC</t>
  </si>
  <si>
    <t>DATE</t>
  </si>
  <si>
    <t>#</t>
  </si>
  <si>
    <t>PERS</t>
  </si>
  <si>
    <t>PARK</t>
  </si>
  <si>
    <t>EXTRA</t>
  </si>
  <si>
    <t>RESA</t>
  </si>
  <si>
    <t>D</t>
  </si>
  <si>
    <t>R</t>
  </si>
  <si>
    <t>BK</t>
  </si>
  <si>
    <t>AM</t>
  </si>
  <si>
    <t>ADAM</t>
  </si>
  <si>
    <t>NB PDJ</t>
  </si>
  <si>
    <t>DATE
PAIEMT</t>
  </si>
  <si>
    <t>PLBS</t>
  </si>
  <si>
    <t>Blanc</t>
  </si>
  <si>
    <t>Recouche</t>
  </si>
  <si>
    <t/>
  </si>
  <si>
    <t>NB JOUR MOIS</t>
  </si>
  <si>
    <t>ARRET COMPTA</t>
  </si>
  <si>
    <t>LEMAIRE</t>
  </si>
  <si>
    <t>WRIGHT</t>
  </si>
  <si>
    <t>LACOSTE</t>
  </si>
  <si>
    <t>CHALLIER (ONESPAN)</t>
  </si>
  <si>
    <t>CHAMB HT</t>
  </si>
  <si>
    <t>BOISS HT</t>
  </si>
  <si>
    <t>PRESG HT</t>
  </si>
  <si>
    <t>DIV. HT</t>
  </si>
  <si>
    <t>PARK. HT</t>
  </si>
  <si>
    <t>RESTO. HT</t>
  </si>
  <si>
    <t>ALC. HT</t>
  </si>
  <si>
    <t>PDJ. HT</t>
  </si>
  <si>
    <t>TVA 10%</t>
  </si>
  <si>
    <t>TVA 20%</t>
  </si>
  <si>
    <t>TOTAL GENERAL</t>
  </si>
  <si>
    <t>CB</t>
  </si>
  <si>
    <t>VAD</t>
  </si>
  <si>
    <t>PLBS.</t>
  </si>
  <si>
    <t>CB SS CTC</t>
  </si>
  <si>
    <t>AMEX.</t>
  </si>
  <si>
    <t>CHQ VAC</t>
  </si>
  <si>
    <t>TOTAL
FACTURE
HT</t>
  </si>
  <si>
    <t>TOTAL
FACTURE
TTC</t>
  </si>
  <si>
    <t>ENCAISSEMENTS TTC</t>
  </si>
  <si>
    <t>FACTURES HT</t>
  </si>
  <si>
    <t>MEUNIER</t>
  </si>
  <si>
    <t>LEROUX</t>
  </si>
  <si>
    <t>ABBANE</t>
  </si>
  <si>
    <t>PAUTHENIER</t>
  </si>
  <si>
    <t>CUBILLE</t>
  </si>
  <si>
    <t>PETIT</t>
  </si>
  <si>
    <t>BACHIMONT</t>
  </si>
  <si>
    <t>BAGNOL</t>
  </si>
  <si>
    <t>TEULADE</t>
  </si>
  <si>
    <t>GOILLANDEAU</t>
  </si>
  <si>
    <t>RODGER</t>
  </si>
  <si>
    <t>SIO</t>
  </si>
  <si>
    <t>HENNEQUIN</t>
  </si>
  <si>
    <t>SPANJARD</t>
  </si>
  <si>
    <t>BONNEAU</t>
  </si>
  <si>
    <t>LAMSIRAROJ</t>
  </si>
  <si>
    <t>TO</t>
  </si>
  <si>
    <t>NB NUITEES</t>
  </si>
  <si>
    <t>NB JOURS</t>
  </si>
  <si>
    <t>NB NUITEES MAX</t>
  </si>
  <si>
    <t>PM</t>
  </si>
  <si>
    <t>NB CH POSSIBLE</t>
  </si>
  <si>
    <t>GAUTHIER</t>
  </si>
  <si>
    <t>ENCAISSEMENTS</t>
  </si>
  <si>
    <t>JAZIRI</t>
  </si>
  <si>
    <t>????</t>
  </si>
  <si>
    <t>€ HT MOYEN / JOUR</t>
  </si>
  <si>
    <t>CA HT #</t>
  </si>
  <si>
    <t>CA HT PDJ</t>
  </si>
  <si>
    <t>CA HT PK</t>
  </si>
  <si>
    <t>CA HT EXTRA</t>
  </si>
  <si>
    <t>CA HT</t>
  </si>
  <si>
    <t>NUITEE</t>
  </si>
  <si>
    <t>0401</t>
  </si>
  <si>
    <t>2022</t>
  </si>
  <si>
    <t>LAFARGUE</t>
  </si>
  <si>
    <t>METIVIER</t>
  </si>
  <si>
    <t>AOUT 2022</t>
  </si>
  <si>
    <t>DATE PAIE</t>
  </si>
  <si>
    <t>CHQ BANQ.</t>
  </si>
  <si>
    <t>VIRMT.</t>
  </si>
  <si>
    <t>ESP.</t>
  </si>
  <si>
    <t>TOTAL ENCAISSE TTC</t>
  </si>
  <si>
    <t>TABLEAU DE FACTURATION MENSUELLE</t>
  </si>
  <si>
    <t>TABLEAU D'ENCAISSEMENT MENSUEL</t>
  </si>
  <si>
    <t>ROCQUE</t>
  </si>
  <si>
    <t>MAGAT</t>
  </si>
  <si>
    <t>FORT</t>
  </si>
  <si>
    <t>JOUR</t>
  </si>
  <si>
    <t>NUM JOUR</t>
  </si>
  <si>
    <t>NUM SEM AM</t>
  </si>
  <si>
    <t>DEP
REC</t>
  </si>
  <si>
    <t>FENAL</t>
  </si>
  <si>
    <t>BESLIN</t>
  </si>
  <si>
    <t>PFEIFFER</t>
  </si>
  <si>
    <t>MAUNIER</t>
  </si>
  <si>
    <t>DESLANDES</t>
  </si>
  <si>
    <t>ALONSO-LAMBERTI</t>
  </si>
  <si>
    <t>BONJA</t>
  </si>
  <si>
    <t>JOURDAA</t>
  </si>
  <si>
    <t>ORAYEN</t>
  </si>
  <si>
    <t>BURET</t>
  </si>
  <si>
    <t>BELLELI</t>
  </si>
  <si>
    <t>FORTUNATO</t>
  </si>
  <si>
    <t>MASELLA</t>
  </si>
  <si>
    <t>DEBRETAGNE</t>
  </si>
  <si>
    <t>MEJIAS</t>
  </si>
  <si>
    <t>BONNAL</t>
  </si>
  <si>
    <t>FIDANZA</t>
  </si>
  <si>
    <t>IRIART</t>
  </si>
  <si>
    <t>GUO</t>
  </si>
  <si>
    <t>DIAGOURAGA</t>
  </si>
  <si>
    <t>IDJERI</t>
  </si>
  <si>
    <t>VACHERON</t>
  </si>
  <si>
    <t>PEZZETA</t>
  </si>
  <si>
    <t>LEGRIS</t>
  </si>
  <si>
    <t>CHAN</t>
  </si>
  <si>
    <t>ANGLES</t>
  </si>
  <si>
    <t>DUNOGUIES</t>
  </si>
  <si>
    <t>DUCHESNE</t>
  </si>
  <si>
    <t>MUSCAT</t>
  </si>
  <si>
    <t>MONGEOT</t>
  </si>
  <si>
    <t>HORN</t>
  </si>
  <si>
    <t>DEPART</t>
  </si>
  <si>
    <t>CANTET</t>
  </si>
  <si>
    <t>JOMAIN</t>
  </si>
  <si>
    <t>RAEMAEKERS</t>
  </si>
  <si>
    <t>DAXHELET</t>
  </si>
  <si>
    <t>RIOU</t>
  </si>
  <si>
    <t>LADEUZE</t>
  </si>
  <si>
    <t>LANNES</t>
  </si>
  <si>
    <t>ALCAZAR</t>
  </si>
  <si>
    <t>LOPEZ ORTEGA</t>
  </si>
  <si>
    <t>DAMESTOY</t>
  </si>
  <si>
    <t>PANIAGUA</t>
  </si>
  <si>
    <t>ETXEBARRIA</t>
  </si>
  <si>
    <t>LISEI</t>
  </si>
  <si>
    <t>déc</t>
  </si>
  <si>
    <t>DECEMBRE 2022</t>
  </si>
  <si>
    <t>THOMAZO</t>
  </si>
  <si>
    <t>TRAN KHANH VIET</t>
  </si>
  <si>
    <t>DUCHAMP</t>
  </si>
  <si>
    <t>PIOU</t>
  </si>
  <si>
    <t>MASOROCIC</t>
  </si>
  <si>
    <t>ROQUE</t>
  </si>
  <si>
    <t>NUSSBAUMER</t>
  </si>
  <si>
    <t>COURCELLE</t>
  </si>
  <si>
    <t>PAVLOVSKY</t>
  </si>
  <si>
    <t>STOCKLI</t>
  </si>
  <si>
    <t>LARDILLIER</t>
  </si>
  <si>
    <t>CABANIS</t>
  </si>
  <si>
    <t>LAGARRIGUE</t>
  </si>
  <si>
    <t>NEANT</t>
  </si>
  <si>
    <t>DESPOUY</t>
  </si>
  <si>
    <t>CORDINA</t>
  </si>
  <si>
    <t>PETIT-PERROT</t>
  </si>
  <si>
    <t>2021</t>
  </si>
  <si>
    <t>nov</t>
  </si>
  <si>
    <t>28-déc</t>
  </si>
  <si>
    <t>29-déc</t>
  </si>
  <si>
    <t>27-nov</t>
  </si>
  <si>
    <t>28-nov</t>
  </si>
  <si>
    <t>29-nov</t>
  </si>
  <si>
    <t>30-nov</t>
  </si>
  <si>
    <t>01-déc</t>
  </si>
  <si>
    <t>02-déc</t>
  </si>
  <si>
    <t>03-déc</t>
  </si>
  <si>
    <t>04-déc</t>
  </si>
  <si>
    <t>21-déc</t>
  </si>
  <si>
    <t>23-déc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</si>
</sst>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%"/>
    <numFmt numFmtId="165" formatCode="[$-40C]d\-mmm;@"/>
    <numFmt numFmtId="166" formatCode="[$-40C]ddd"/>
  </numFmts>
  <fonts count="19" x14ac:knownFonts="1">
    <font>
      <sz val="10"/>
      <name val="MS Sans Serif"/>
    </font>
    <font>
      <sz val="10"/>
      <name val="MS Sans Serif"/>
    </font>
    <font>
      <sz val="10"/>
      <name val="Arial"/>
      <family val="2"/>
    </font>
    <font>
      <b/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 tint="0.499984740745262"/>
      <name val="Arial"/>
      <family val="2"/>
    </font>
    <font>
      <i/>
      <sz val="10"/>
      <color theme="1" tint="0.499984740745262"/>
      <name val="Arial"/>
      <family val="2"/>
    </font>
    <font>
      <b/>
      <sz val="16"/>
      <color theme="1"/>
      <name val="Arial"/>
      <family val="2"/>
    </font>
    <font>
      <b/>
      <sz val="16"/>
      <name val="Arial"/>
      <family val="2"/>
    </font>
    <font>
      <b/>
      <sz val="26"/>
      <name val="Arial"/>
      <family val="2"/>
    </font>
    <font>
      <b/>
      <sz val="20"/>
      <name val="Arial"/>
      <family val="2"/>
    </font>
    <font>
      <b/>
      <sz val="10"/>
      <name val="MS Sans Serif"/>
    </font>
    <font>
      <i/>
      <sz val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thin">
        <color auto="1"/>
      </right>
      <top/>
      <bottom/>
      <diagonal/>
    </border>
    <border>
      <left style="dotted">
        <color auto="1"/>
      </left>
      <right style="thick">
        <color auto="1"/>
      </right>
      <top/>
      <bottom/>
      <diagonal/>
    </border>
    <border>
      <left style="thick">
        <color auto="1"/>
      </left>
      <right style="dotted">
        <color auto="1"/>
      </right>
      <top/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dotted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dotted">
        <color auto="1"/>
      </right>
      <top/>
      <bottom style="thick">
        <color auto="1"/>
      </bottom>
      <diagonal/>
    </border>
    <border>
      <left style="dotted">
        <color auto="1"/>
      </left>
      <right style="dotted">
        <color auto="1"/>
      </right>
      <top/>
      <bottom style="thick">
        <color auto="1"/>
      </bottom>
      <diagonal/>
    </border>
    <border>
      <left style="dotted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dotted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/>
      <right style="dotted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dotted">
        <color auto="1"/>
      </left>
      <right/>
      <top style="thick">
        <color auto="1"/>
      </top>
      <bottom style="thick">
        <color auto="1"/>
      </bottom>
      <diagonal/>
    </border>
    <border>
      <left style="dotted">
        <color auto="1"/>
      </left>
      <right/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4" fontId="5" fillId="3" borderId="5" xfId="0" applyNumberFormat="1" applyFont="1" applyFill="1" applyBorder="1" applyAlignment="1">
      <alignment horizontal="right" vertical="center"/>
    </xf>
    <xf numFmtId="4" fontId="4" fillId="0" borderId="6" xfId="0" applyNumberFormat="1" applyFont="1" applyBorder="1" applyAlignment="1">
      <alignment vertical="center"/>
    </xf>
    <xf numFmtId="4" fontId="4" fillId="0" borderId="7" xfId="0" applyNumberFormat="1" applyFont="1" applyBorder="1" applyAlignment="1">
      <alignment vertical="center"/>
    </xf>
    <xf numFmtId="4" fontId="4" fillId="0" borderId="8" xfId="0" applyNumberFormat="1" applyFont="1" applyBorder="1" applyAlignment="1">
      <alignment vertical="center"/>
    </xf>
    <xf numFmtId="4" fontId="4" fillId="0" borderId="9" xfId="0" applyNumberFormat="1" applyFont="1" applyBorder="1" applyAlignment="1">
      <alignment vertical="center"/>
    </xf>
    <xf numFmtId="4" fontId="4" fillId="0" borderId="10" xfId="0" applyNumberFormat="1" applyFont="1" applyBorder="1" applyAlignment="1">
      <alignment vertical="center"/>
    </xf>
    <xf numFmtId="16" fontId="4" fillId="0" borderId="10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" fontId="4" fillId="0" borderId="7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center" vertical="center"/>
    </xf>
    <xf numFmtId="4" fontId="4" fillId="0" borderId="0" xfId="0" applyNumberFormat="1" applyFont="1" applyAlignment="1">
      <alignment vertical="center"/>
    </xf>
    <xf numFmtId="0" fontId="5" fillId="4" borderId="0" xfId="0" applyFont="1" applyFill="1" applyAlignment="1">
      <alignment horizontal="center" vertical="center"/>
    </xf>
    <xf numFmtId="0" fontId="4" fillId="0" borderId="0" xfId="0" applyFont="1" applyAlignment="1">
      <alignment horizontal="right" vertical="center"/>
    </xf>
    <xf numFmtId="4" fontId="7" fillId="3" borderId="1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9" fontId="4" fillId="0" borderId="0" xfId="1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4" fontId="6" fillId="3" borderId="0" xfId="0" applyNumberFormat="1" applyFont="1" applyFill="1" applyAlignment="1">
      <alignment horizontal="right" vertical="center"/>
    </xf>
    <xf numFmtId="4" fontId="6" fillId="5" borderId="0" xfId="0" applyNumberFormat="1" applyFont="1" applyFill="1" applyAlignment="1">
      <alignment horizontal="right" vertical="center"/>
    </xf>
    <xf numFmtId="0" fontId="5" fillId="0" borderId="0" xfId="0" applyFont="1" applyAlignment="1">
      <alignment horizontal="right" vertical="center"/>
    </xf>
    <xf numFmtId="4" fontId="5" fillId="3" borderId="0" xfId="0" applyNumberFormat="1" applyFont="1" applyFill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/>
    </xf>
    <xf numFmtId="9" fontId="4" fillId="0" borderId="0" xfId="1" applyFont="1" applyBorder="1" applyAlignment="1">
      <alignment vertical="center"/>
    </xf>
    <xf numFmtId="4" fontId="6" fillId="0" borderId="0" xfId="0" applyNumberFormat="1" applyFont="1" applyAlignment="1">
      <alignment horizontal="right" vertical="center"/>
    </xf>
    <xf numFmtId="4" fontId="5" fillId="0" borderId="0" xfId="0" applyNumberFormat="1" applyFont="1" applyAlignment="1">
      <alignment horizontal="right" vertical="center"/>
    </xf>
    <xf numFmtId="2" fontId="4" fillId="0" borderId="0" xfId="0" applyNumberFormat="1" applyFont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4" fontId="4" fillId="0" borderId="12" xfId="0" applyNumberFormat="1" applyFont="1" applyBorder="1" applyAlignment="1">
      <alignment vertical="center"/>
    </xf>
    <xf numFmtId="4" fontId="4" fillId="0" borderId="13" xfId="0" applyNumberFormat="1" applyFont="1" applyBorder="1" applyAlignment="1">
      <alignment vertical="center"/>
    </xf>
    <xf numFmtId="4" fontId="4" fillId="0" borderId="15" xfId="0" applyNumberFormat="1" applyFont="1" applyBorder="1" applyAlignment="1">
      <alignment vertical="center"/>
    </xf>
    <xf numFmtId="4" fontId="4" fillId="0" borderId="16" xfId="0" applyNumberFormat="1" applyFont="1" applyBorder="1" applyAlignment="1">
      <alignment vertical="center"/>
    </xf>
    <xf numFmtId="4" fontId="4" fillId="0" borderId="14" xfId="0" applyNumberFormat="1" applyFont="1" applyBorder="1" applyAlignment="1">
      <alignment vertical="center"/>
    </xf>
    <xf numFmtId="0" fontId="8" fillId="2" borderId="2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4" fontId="4" fillId="0" borderId="18" xfId="0" applyNumberFormat="1" applyFont="1" applyBorder="1" applyAlignment="1">
      <alignment vertical="center"/>
    </xf>
    <xf numFmtId="4" fontId="5" fillId="3" borderId="30" xfId="0" applyNumberFormat="1" applyFont="1" applyFill="1" applyBorder="1" applyAlignment="1">
      <alignment horizontal="right" vertical="center"/>
    </xf>
    <xf numFmtId="4" fontId="4" fillId="0" borderId="13" xfId="0" applyNumberFormat="1" applyFont="1" applyBorder="1" applyAlignment="1">
      <alignment horizontal="center" vertical="center"/>
    </xf>
    <xf numFmtId="4" fontId="4" fillId="0" borderId="31" xfId="0" applyNumberFormat="1" applyFont="1" applyBorder="1" applyAlignment="1">
      <alignment vertical="center"/>
    </xf>
    <xf numFmtId="0" fontId="4" fillId="0" borderId="0" xfId="0" quotePrefix="1" applyFont="1" applyAlignment="1">
      <alignment vertical="center"/>
    </xf>
    <xf numFmtId="4" fontId="4" fillId="6" borderId="7" xfId="0" applyNumberFormat="1" applyFont="1" applyFill="1" applyBorder="1" applyAlignment="1">
      <alignment vertical="center"/>
    </xf>
    <xf numFmtId="4" fontId="4" fillId="6" borderId="6" xfId="0" applyNumberFormat="1" applyFont="1" applyFill="1" applyBorder="1" applyAlignment="1">
      <alignment vertical="center"/>
    </xf>
    <xf numFmtId="3" fontId="4" fillId="0" borderId="0" xfId="0" applyNumberFormat="1" applyFont="1" applyAlignment="1">
      <alignment horizontal="right" vertical="center"/>
    </xf>
    <xf numFmtId="3" fontId="0" fillId="0" borderId="0" xfId="0" applyNumberFormat="1" applyAlignment="1">
      <alignment horizontal="right" vertical="center"/>
    </xf>
    <xf numFmtId="164" fontId="4" fillId="0" borderId="0" xfId="1" applyNumberFormat="1" applyFont="1" applyAlignment="1">
      <alignment horizontal="center" vertical="center"/>
    </xf>
    <xf numFmtId="0" fontId="10" fillId="7" borderId="4" xfId="0" applyFont="1" applyFill="1" applyBorder="1" applyAlignment="1">
      <alignment horizontal="center" vertical="center" wrapText="1"/>
    </xf>
    <xf numFmtId="4" fontId="2" fillId="7" borderId="4" xfId="0" applyNumberFormat="1" applyFont="1" applyFill="1" applyBorder="1" applyAlignment="1">
      <alignment vertical="center"/>
    </xf>
    <xf numFmtId="4" fontId="2" fillId="8" borderId="33" xfId="0" applyNumberFormat="1" applyFont="1" applyFill="1" applyBorder="1" applyAlignment="1">
      <alignment vertical="center"/>
    </xf>
    <xf numFmtId="4" fontId="2" fillId="8" borderId="34" xfId="0" applyNumberFormat="1" applyFont="1" applyFill="1" applyBorder="1" applyAlignment="1">
      <alignment vertical="center"/>
    </xf>
    <xf numFmtId="4" fontId="2" fillId="8" borderId="35" xfId="0" applyNumberFormat="1" applyFont="1" applyFill="1" applyBorder="1" applyAlignment="1">
      <alignment vertical="center"/>
    </xf>
    <xf numFmtId="4" fontId="2" fillId="8" borderId="32" xfId="0" applyNumberFormat="1" applyFont="1" applyFill="1" applyBorder="1" applyAlignment="1">
      <alignment vertical="center"/>
    </xf>
    <xf numFmtId="4" fontId="2" fillId="8" borderId="36" xfId="0" applyNumberFormat="1" applyFont="1" applyFill="1" applyBorder="1" applyAlignment="1">
      <alignment vertical="center"/>
    </xf>
    <xf numFmtId="0" fontId="10" fillId="8" borderId="38" xfId="0" applyFont="1" applyFill="1" applyBorder="1" applyAlignment="1">
      <alignment horizontal="center" vertical="center" wrapText="1"/>
    </xf>
    <xf numFmtId="0" fontId="10" fillId="8" borderId="39" xfId="0" applyFont="1" applyFill="1" applyBorder="1" applyAlignment="1">
      <alignment horizontal="center" vertical="center" wrapText="1"/>
    </xf>
    <xf numFmtId="0" fontId="10" fillId="9" borderId="38" xfId="0" applyFont="1" applyFill="1" applyBorder="1" applyAlignment="1">
      <alignment horizontal="center" vertical="center" wrapText="1"/>
    </xf>
    <xf numFmtId="0" fontId="10" fillId="8" borderId="40" xfId="0" applyFont="1" applyFill="1" applyBorder="1" applyAlignment="1">
      <alignment horizontal="center" vertical="center" wrapText="1"/>
    </xf>
    <xf numFmtId="4" fontId="12" fillId="8" borderId="35" xfId="0" applyNumberFormat="1" applyFont="1" applyFill="1" applyBorder="1" applyAlignment="1">
      <alignment vertical="center"/>
    </xf>
    <xf numFmtId="0" fontId="11" fillId="8" borderId="35" xfId="0" applyFont="1" applyFill="1" applyBorder="1" applyAlignment="1">
      <alignment horizontal="center" vertical="center" wrapText="1"/>
    </xf>
    <xf numFmtId="0" fontId="10" fillId="9" borderId="41" xfId="0" applyFont="1" applyFill="1" applyBorder="1" applyAlignment="1">
      <alignment horizontal="center" vertical="center" wrapText="1"/>
    </xf>
    <xf numFmtId="4" fontId="5" fillId="0" borderId="37" xfId="0" applyNumberFormat="1" applyFont="1" applyBorder="1" applyAlignment="1">
      <alignment vertical="center"/>
    </xf>
    <xf numFmtId="2" fontId="4" fillId="0" borderId="0" xfId="0" applyNumberFormat="1" applyFont="1" applyAlignment="1">
      <alignment horizontal="right" vertical="center"/>
    </xf>
    <xf numFmtId="16" fontId="4" fillId="0" borderId="0" xfId="0" applyNumberFormat="1" applyFont="1" applyAlignment="1">
      <alignment vertical="center"/>
    </xf>
    <xf numFmtId="0" fontId="4" fillId="4" borderId="0" xfId="0" applyFont="1" applyFill="1" applyAlignment="1">
      <alignment horizontal="right" vertical="center"/>
    </xf>
    <xf numFmtId="164" fontId="5" fillId="10" borderId="0" xfId="1" applyNumberFormat="1" applyFont="1" applyFill="1" applyAlignment="1">
      <alignment horizontal="right" vertical="center"/>
    </xf>
    <xf numFmtId="4" fontId="5" fillId="10" borderId="0" xfId="0" applyNumberFormat="1" applyFont="1" applyFill="1" applyAlignment="1">
      <alignment horizontal="right" vertical="center"/>
    </xf>
    <xf numFmtId="0" fontId="5" fillId="10" borderId="0" xfId="0" applyFont="1" applyFill="1" applyAlignment="1">
      <alignment horizontal="right" vertical="center"/>
    </xf>
    <xf numFmtId="164" fontId="4" fillId="0" borderId="0" xfId="1" applyNumberFormat="1" applyFont="1" applyAlignment="1">
      <alignment vertical="center"/>
    </xf>
    <xf numFmtId="0" fontId="9" fillId="2" borderId="21" xfId="0" applyFont="1" applyFill="1" applyBorder="1" applyAlignment="1">
      <alignment horizontal="centerContinuous" vertical="center"/>
    </xf>
    <xf numFmtId="0" fontId="9" fillId="2" borderId="22" xfId="0" applyFont="1" applyFill="1" applyBorder="1" applyAlignment="1">
      <alignment horizontal="centerContinuous" vertical="center"/>
    </xf>
    <xf numFmtId="0" fontId="9" fillId="2" borderId="23" xfId="0" applyFont="1" applyFill="1" applyBorder="1" applyAlignment="1">
      <alignment horizontal="centerContinuous" vertical="center"/>
    </xf>
    <xf numFmtId="3" fontId="5" fillId="0" borderId="0" xfId="0" applyNumberFormat="1" applyFont="1" applyAlignment="1">
      <alignment horizontal="right" vertical="center"/>
    </xf>
    <xf numFmtId="3" fontId="5" fillId="0" borderId="0" xfId="0" applyNumberFormat="1" applyFont="1" applyAlignment="1">
      <alignment vertical="center"/>
    </xf>
    <xf numFmtId="16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15" fillId="11" borderId="0" xfId="0" applyFont="1" applyFill="1" applyAlignment="1">
      <alignment horizontal="centerContinuous" vertical="center"/>
    </xf>
    <xf numFmtId="0" fontId="2" fillId="11" borderId="0" xfId="0" applyFont="1" applyFill="1" applyAlignment="1">
      <alignment horizontal="centerContinuous" vertical="center"/>
    </xf>
    <xf numFmtId="17" fontId="14" fillId="0" borderId="0" xfId="0" quotePrefix="1" applyNumberFormat="1" applyFont="1" applyAlignment="1">
      <alignment horizontal="centerContinuous"/>
    </xf>
    <xf numFmtId="0" fontId="2" fillId="0" borderId="0" xfId="0" applyFont="1" applyAlignment="1">
      <alignment horizontal="centerContinuous"/>
    </xf>
    <xf numFmtId="165" fontId="4" fillId="0" borderId="10" xfId="0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165" fontId="2" fillId="0" borderId="0" xfId="0" applyNumberFormat="1" applyFont="1" applyAlignment="1">
      <alignment horizontal="center" vertical="center" wrapText="1"/>
    </xf>
    <xf numFmtId="0" fontId="4" fillId="0" borderId="0" xfId="0" quotePrefix="1" applyFont="1" applyAlignment="1">
      <alignment horizontal="center" vertical="center"/>
    </xf>
    <xf numFmtId="4" fontId="4" fillId="6" borderId="18" xfId="0" applyNumberFormat="1" applyFont="1" applyFill="1" applyBorder="1" applyAlignment="1">
      <alignment vertical="center"/>
    </xf>
    <xf numFmtId="14" fontId="4" fillId="0" borderId="0" xfId="0" applyNumberFormat="1" applyFont="1" applyAlignment="1">
      <alignment horizontal="center" vertical="center"/>
    </xf>
    <xf numFmtId="0" fontId="16" fillId="11" borderId="0" xfId="0" applyFont="1" applyFill="1" applyAlignment="1">
      <alignment horizontal="centerContinuous" vertical="center"/>
    </xf>
    <xf numFmtId="0" fontId="16" fillId="12" borderId="0" xfId="0" applyFont="1" applyFill="1" applyAlignment="1">
      <alignment horizontal="centerContinuous" vertical="center"/>
    </xf>
    <xf numFmtId="0" fontId="15" fillId="12" borderId="0" xfId="0" applyFont="1" applyFill="1" applyAlignment="1">
      <alignment horizontal="centerContinuous" vertical="center"/>
    </xf>
    <xf numFmtId="0" fontId="2" fillId="12" borderId="0" xfId="0" applyFont="1" applyFill="1" applyAlignment="1">
      <alignment horizontal="centerContinuous"/>
    </xf>
    <xf numFmtId="0" fontId="2" fillId="0" borderId="0" xfId="0" pivotButton="1" applyFont="1" applyAlignment="1">
      <alignment horizontal="center"/>
    </xf>
    <xf numFmtId="0" fontId="14" fillId="13" borderId="45" xfId="0" applyFont="1" applyFill="1" applyBorder="1" applyAlignment="1">
      <alignment horizontal="centerContinuous" vertical="center"/>
    </xf>
    <xf numFmtId="0" fontId="3" fillId="13" borderId="45" xfId="0" applyFont="1" applyFill="1" applyBorder="1" applyAlignment="1">
      <alignment horizontal="centerContinuous" vertical="center"/>
    </xf>
    <xf numFmtId="4" fontId="2" fillId="13" borderId="33" xfId="0" applyNumberFormat="1" applyFont="1" applyFill="1" applyBorder="1" applyAlignment="1">
      <alignment horizontal="center" vertical="center" wrapText="1"/>
    </xf>
    <xf numFmtId="4" fontId="2" fillId="13" borderId="34" xfId="0" applyNumberFormat="1" applyFont="1" applyFill="1" applyBorder="1" applyAlignment="1">
      <alignment horizontal="center" vertical="center" wrapText="1"/>
    </xf>
    <xf numFmtId="0" fontId="2" fillId="14" borderId="36" xfId="0" applyFont="1" applyFill="1" applyBorder="1" applyAlignment="1">
      <alignment horizontal="center" vertical="center" wrapText="1"/>
    </xf>
    <xf numFmtId="4" fontId="2" fillId="12" borderId="34" xfId="0" applyNumberFormat="1" applyFont="1" applyFill="1" applyBorder="1" applyAlignment="1">
      <alignment vertical="center"/>
    </xf>
    <xf numFmtId="4" fontId="2" fillId="12" borderId="36" xfId="0" applyNumberFormat="1" applyFont="1" applyFill="1" applyBorder="1" applyAlignment="1">
      <alignment vertical="center"/>
    </xf>
    <xf numFmtId="0" fontId="2" fillId="12" borderId="4" xfId="0" applyFont="1" applyFill="1" applyBorder="1" applyAlignment="1">
      <alignment horizontal="left" vertical="center"/>
    </xf>
    <xf numFmtId="4" fontId="2" fillId="12" borderId="33" xfId="0" applyNumberFormat="1" applyFont="1" applyFill="1" applyBorder="1" applyAlignment="1">
      <alignment vertical="center"/>
    </xf>
    <xf numFmtId="16" fontId="4" fillId="0" borderId="12" xfId="0" applyNumberFormat="1" applyFont="1" applyBorder="1" applyAlignment="1">
      <alignment horizontal="center" vertical="center"/>
    </xf>
    <xf numFmtId="3" fontId="4" fillId="0" borderId="13" xfId="0" applyNumberFormat="1" applyFont="1" applyBorder="1" applyAlignment="1">
      <alignment horizontal="center" vertical="center"/>
    </xf>
    <xf numFmtId="4" fontId="4" fillId="0" borderId="14" xfId="0" applyNumberFormat="1" applyFont="1" applyBorder="1" applyAlignment="1">
      <alignment horizontal="center" vertical="center"/>
    </xf>
    <xf numFmtId="1" fontId="6" fillId="2" borderId="17" xfId="0" applyNumberFormat="1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14" fontId="4" fillId="0" borderId="19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4" fontId="4" fillId="15" borderId="9" xfId="0" applyNumberFormat="1" applyFont="1" applyFill="1" applyBorder="1" applyAlignment="1">
      <alignment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9" fillId="2" borderId="48" xfId="0" applyFont="1" applyFill="1" applyBorder="1" applyAlignment="1">
      <alignment horizontal="centerContinuous" vertical="center"/>
    </xf>
    <xf numFmtId="0" fontId="9" fillId="2" borderId="46" xfId="0" applyFont="1" applyFill="1" applyBorder="1" applyAlignment="1">
      <alignment horizontal="centerContinuous" vertical="center"/>
    </xf>
    <xf numFmtId="0" fontId="9" fillId="2" borderId="17" xfId="0" applyFont="1" applyFill="1" applyBorder="1" applyAlignment="1">
      <alignment horizontal="centerContinuous" vertical="center"/>
    </xf>
    <xf numFmtId="165" fontId="5" fillId="0" borderId="47" xfId="0" applyNumberFormat="1" applyFont="1" applyBorder="1" applyAlignment="1">
      <alignment horizontal="center" vertical="center"/>
    </xf>
    <xf numFmtId="165" fontId="5" fillId="0" borderId="30" xfId="0" applyNumberFormat="1" applyFont="1" applyBorder="1" applyAlignment="1">
      <alignment horizontal="center" vertical="center"/>
    </xf>
    <xf numFmtId="0" fontId="6" fillId="16" borderId="13" xfId="0" applyFont="1" applyFill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/>
    </xf>
    <xf numFmtId="0" fontId="6" fillId="16" borderId="12" xfId="0" applyFont="1" applyFill="1" applyBorder="1" applyAlignment="1">
      <alignment horizontal="center" vertical="center"/>
    </xf>
    <xf numFmtId="166" fontId="4" fillId="0" borderId="10" xfId="0" applyNumberFormat="1" applyFont="1" applyBorder="1" applyAlignment="1">
      <alignment horizontal="center" vertical="center"/>
    </xf>
    <xf numFmtId="0" fontId="6" fillId="16" borderId="49" xfId="0" applyFont="1" applyFill="1" applyBorder="1" applyAlignment="1">
      <alignment horizontal="center" vertical="center" wrapText="1"/>
    </xf>
    <xf numFmtId="1" fontId="4" fillId="0" borderId="50" xfId="0" applyNumberFormat="1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7" fillId="0" borderId="0" xfId="0" applyFont="1"/>
    <xf numFmtId="9" fontId="4" fillId="0" borderId="0" xfId="1" applyFont="1" applyAlignment="1">
      <alignment horizontal="right" vertical="center"/>
    </xf>
    <xf numFmtId="0" fontId="6" fillId="2" borderId="13" xfId="0" applyFont="1" applyFill="1" applyBorder="1" applyAlignment="1">
      <alignment horizontal="center" vertical="center" wrapText="1"/>
    </xf>
    <xf numFmtId="0" fontId="2" fillId="0" borderId="0" xfId="0" pivotButton="1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4" fontId="2" fillId="0" borderId="51" xfId="0" applyNumberFormat="1" applyFont="1" applyBorder="1" applyAlignment="1">
      <alignment vertical="center"/>
    </xf>
    <xf numFmtId="4" fontId="2" fillId="0" borderId="52" xfId="0" applyNumberFormat="1" applyFont="1" applyBorder="1" applyAlignment="1">
      <alignment vertical="center"/>
    </xf>
    <xf numFmtId="4" fontId="2" fillId="0" borderId="53" xfId="0" applyNumberFormat="1" applyFont="1" applyBorder="1" applyAlignment="1">
      <alignment vertical="center"/>
    </xf>
    <xf numFmtId="4" fontId="2" fillId="7" borderId="45" xfId="0" applyNumberFormat="1" applyFont="1" applyFill="1" applyBorder="1" applyAlignment="1">
      <alignment vertical="center"/>
    </xf>
    <xf numFmtId="4" fontId="2" fillId="0" borderId="55" xfId="0" applyNumberFormat="1" applyFont="1" applyBorder="1" applyAlignment="1">
      <alignment vertical="center"/>
    </xf>
    <xf numFmtId="4" fontId="2" fillId="0" borderId="54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4" fontId="2" fillId="7" borderId="19" xfId="0" applyNumberFormat="1" applyFont="1" applyFill="1" applyBorder="1" applyAlignment="1">
      <alignment vertical="center"/>
    </xf>
    <xf numFmtId="4" fontId="2" fillId="0" borderId="56" xfId="0" applyNumberFormat="1" applyFont="1" applyBorder="1" applyAlignment="1">
      <alignment vertical="center"/>
    </xf>
    <xf numFmtId="4" fontId="12" fillId="0" borderId="53" xfId="0" applyNumberFormat="1" applyFont="1" applyBorder="1" applyAlignment="1">
      <alignment vertical="center"/>
    </xf>
    <xf numFmtId="4" fontId="12" fillId="0" borderId="2" xfId="0" applyNumberFormat="1" applyFont="1" applyBorder="1" applyAlignment="1">
      <alignment vertical="center"/>
    </xf>
    <xf numFmtId="4" fontId="2" fillId="0" borderId="57" xfId="0" applyNumberFormat="1" applyFont="1" applyBorder="1" applyAlignment="1">
      <alignment vertical="center"/>
    </xf>
    <xf numFmtId="4" fontId="2" fillId="0" borderId="58" xfId="0" applyNumberFormat="1" applyFont="1" applyBorder="1" applyAlignment="1">
      <alignment vertical="center"/>
    </xf>
    <xf numFmtId="0" fontId="2" fillId="8" borderId="4" xfId="0" applyFont="1" applyFill="1" applyBorder="1" applyAlignment="1">
      <alignment horizontal="left" vertical="center"/>
    </xf>
    <xf numFmtId="166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49" xfId="0" applyNumberFormat="1" applyFont="1" applyBorder="1" applyAlignment="1">
      <alignment horizontal="center" vertical="center"/>
    </xf>
    <xf numFmtId="165" fontId="5" fillId="0" borderId="33" xfId="0" applyNumberFormat="1" applyFont="1" applyBorder="1" applyAlignment="1">
      <alignment horizontal="center" vertical="center"/>
    </xf>
    <xf numFmtId="165" fontId="5" fillId="0" borderId="36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4" fontId="6" fillId="3" borderId="17" xfId="0" applyNumberFormat="1" applyFont="1" applyFill="1" applyBorder="1" applyAlignment="1">
      <alignment horizontal="right" vertical="center"/>
    </xf>
    <xf numFmtId="4" fontId="6" fillId="3" borderId="36" xfId="0" applyNumberFormat="1" applyFont="1" applyFill="1" applyBorder="1" applyAlignment="1">
      <alignment horizontal="right" vertical="center"/>
    </xf>
    <xf numFmtId="3" fontId="18" fillId="0" borderId="0" xfId="0" applyNumberFormat="1" applyFont="1" applyAlignment="1">
      <alignment vertical="center"/>
    </xf>
    <xf numFmtId="0" fontId="18" fillId="0" borderId="0" xfId="0" applyFont="1" applyAlignment="1">
      <alignment horizontal="left" vertical="center"/>
    </xf>
    <xf numFmtId="4" fontId="5" fillId="0" borderId="0" xfId="0" applyNumberFormat="1" applyFont="1" applyAlignment="1">
      <alignment horizontal="center" vertical="center"/>
    </xf>
    <xf numFmtId="0" fontId="13" fillId="9" borderId="44" xfId="0" applyFont="1" applyFill="1" applyBorder="1" applyAlignment="1">
      <alignment horizontal="center" vertical="center" wrapText="1"/>
    </xf>
    <xf numFmtId="0" fontId="13" fillId="9" borderId="43" xfId="0" applyFont="1" applyFill="1" applyBorder="1" applyAlignment="1">
      <alignment horizontal="center" vertical="center" wrapText="1"/>
    </xf>
    <xf numFmtId="0" fontId="13" fillId="8" borderId="42" xfId="0" applyFont="1" applyFill="1" applyBorder="1" applyAlignment="1">
      <alignment horizontal="center" vertical="center" wrapText="1"/>
    </xf>
    <xf numFmtId="0" fontId="13" fillId="8" borderId="37" xfId="0" applyFont="1" applyFill="1" applyBorder="1" applyAlignment="1">
      <alignment horizontal="center" vertical="center" wrapText="1"/>
    </xf>
    <xf numFmtId="0" fontId="13" fillId="8" borderId="20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1303">
    <dxf>
      <numFmt numFmtId="165" formatCode="[$-40C]d\-mmm;@"/>
    </dxf>
    <dxf>
      <numFmt numFmtId="4" formatCode="#,##0.00"/>
    </dxf>
    <dxf>
      <alignment wrapText="1"/>
    </dxf>
    <dxf>
      <numFmt numFmtId="4" formatCode="#,##0.00"/>
    </dxf>
    <dxf>
      <alignment vertical="center"/>
    </dxf>
    <dxf>
      <alignment horizontal="center"/>
    </dxf>
    <dxf>
      <fill>
        <patternFill patternType="solid">
          <bgColor theme="4" tint="0.79998168889431442"/>
        </patternFill>
      </fill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alignment wrapText="1"/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border>
        <left style="thick">
          <color auto="1"/>
        </left>
        <right style="thick">
          <color auto="1"/>
        </righ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ck">
          <color auto="1"/>
        </left>
        <top style="thick">
          <color auto="1"/>
        </top>
        <bottom style="thick">
          <color auto="1"/>
        </bottom>
      </border>
    </dxf>
    <dxf>
      <fill>
        <patternFill>
          <bgColor theme="9" tint="0.59999389629810485"/>
        </patternFill>
      </fill>
    </dxf>
    <dxf>
      <fill>
        <patternFill>
          <bgColor theme="9" tint="0.39997558519241921"/>
        </patternFill>
      </fill>
    </dxf>
    <dxf>
      <alignment vertical="center"/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</border>
    </dxf>
    <dxf>
      <border>
        <left style="thick">
          <color auto="1"/>
        </left>
        <right style="thick">
          <color auto="1"/>
        </right>
      </border>
    </dxf>
    <dxf>
      <border>
        <horizontal style="thin">
          <color auto="1"/>
        </horizontal>
      </border>
    </dxf>
    <dxf>
      <alignment horizontal="center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ill>
        <patternFill patternType="solid"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1"/>
      </font>
    </dxf>
    <dxf>
      <border>
        <top style="thick">
          <color auto="1"/>
        </top>
      </border>
    </dxf>
    <dxf>
      <border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ck">
          <color auto="1"/>
        </top>
        <bottom style="thick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bottom style="thick">
          <color auto="1"/>
        </bottom>
      </border>
    </dxf>
    <dxf>
      <fill>
        <patternFill>
          <bgColor theme="7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39997558519241921"/>
        </patternFill>
      </fill>
    </dxf>
    <dxf>
      <border>
        <top style="thick">
          <color auto="1"/>
        </top>
      </border>
    </dxf>
    <dxf>
      <border>
        <bottom style="thick">
          <color auto="1"/>
        </bottom>
      </border>
    </dxf>
    <dxf>
      <alignment wrapText="1"/>
    </dxf>
    <dxf>
      <alignment horizontal="center"/>
    </dxf>
    <dxf>
      <font>
        <b val="0"/>
      </font>
    </dxf>
    <dxf>
      <font>
        <b/>
      </font>
    </dxf>
    <dxf>
      <font>
        <color theme="1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border>
        <left style="thick">
          <color auto="1"/>
        </left>
      </border>
    </dxf>
    <dxf>
      <font>
        <i/>
      </font>
    </dxf>
    <dxf>
      <font>
        <i/>
      </font>
    </dxf>
    <dxf>
      <font>
        <color theme="1" tint="0.499984740745262"/>
      </font>
    </dxf>
    <dxf>
      <font>
        <color theme="1" tint="0.499984740745262"/>
      </font>
    </dxf>
    <dxf>
      <fill>
        <patternFill>
          <bgColor theme="2" tint="-0.249977111117893"/>
        </patternFill>
      </fill>
    </dxf>
    <dxf>
      <border>
        <top style="thin">
          <color auto="1"/>
        </top>
      </border>
    </dxf>
    <dxf>
      <border>
        <top style="thin">
          <color auto="1"/>
        </top>
      </border>
    </dxf>
    <dxf>
      <border>
        <bottom style="thick">
          <color auto="1"/>
        </bottom>
      </border>
    </dxf>
    <dxf>
      <border>
        <right style="thick">
          <color auto="1"/>
        </right>
      </border>
    </dxf>
    <dxf>
      <border>
        <top style="thick">
          <color auto="1"/>
        </top>
      </border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numFmt numFmtId="165" formatCode="[$-40C]d\-mmm;@"/>
    </dxf>
    <dxf>
      <numFmt numFmtId="4" formatCode="#,##0.00"/>
    </dxf>
    <dxf>
      <alignment wrapText="1"/>
    </dxf>
    <dxf>
      <numFmt numFmtId="4" formatCode="#,##0.00"/>
    </dxf>
    <dxf>
      <alignment vertical="center"/>
    </dxf>
    <dxf>
      <alignment horizontal="center"/>
    </dxf>
    <dxf>
      <fill>
        <patternFill patternType="solid">
          <bgColor theme="4" tint="0.79998168889431442"/>
        </patternFill>
      </fill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alignment wrapText="1"/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border>
        <left style="thick">
          <color auto="1"/>
        </left>
        <right style="thick">
          <color auto="1"/>
        </righ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ck">
          <color auto="1"/>
        </left>
        <top style="thick">
          <color auto="1"/>
        </top>
        <bottom style="thick">
          <color auto="1"/>
        </bottom>
      </border>
    </dxf>
    <dxf>
      <fill>
        <patternFill>
          <bgColor theme="9" tint="0.59999389629810485"/>
        </patternFill>
      </fill>
    </dxf>
    <dxf>
      <fill>
        <patternFill>
          <bgColor theme="9" tint="0.39997558519241921"/>
        </patternFill>
      </fill>
    </dxf>
    <dxf>
      <alignment vertical="center"/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</border>
    </dxf>
    <dxf>
      <border>
        <left style="thick">
          <color auto="1"/>
        </left>
        <right style="thick">
          <color auto="1"/>
        </right>
      </border>
    </dxf>
    <dxf>
      <border>
        <horizontal style="thin">
          <color auto="1"/>
        </horizontal>
      </border>
    </dxf>
    <dxf>
      <alignment horizontal="center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ill>
        <patternFill patternType="solid"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1"/>
      </font>
    </dxf>
    <dxf>
      <border>
        <top style="thick">
          <color auto="1"/>
        </top>
      </border>
    </dxf>
    <dxf>
      <border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ck">
          <color auto="1"/>
        </top>
        <bottom style="thick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bottom style="thick">
          <color auto="1"/>
        </bottom>
      </border>
    </dxf>
    <dxf>
      <fill>
        <patternFill>
          <bgColor theme="7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39997558519241921"/>
        </patternFill>
      </fill>
    </dxf>
    <dxf>
      <border>
        <top style="thick">
          <color auto="1"/>
        </top>
      </border>
    </dxf>
    <dxf>
      <border>
        <bottom style="thick">
          <color auto="1"/>
        </bottom>
      </border>
    </dxf>
    <dxf>
      <alignment wrapText="1"/>
    </dxf>
    <dxf>
      <alignment horizontal="center"/>
    </dxf>
    <dxf>
      <font>
        <b val="0"/>
      </font>
    </dxf>
    <dxf>
      <font>
        <b/>
      </font>
    </dxf>
    <dxf>
      <font>
        <color theme="1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border>
        <left style="thick">
          <color auto="1"/>
        </left>
      </border>
    </dxf>
    <dxf>
      <font>
        <i/>
      </font>
    </dxf>
    <dxf>
      <font>
        <i/>
      </font>
    </dxf>
    <dxf>
      <font>
        <color theme="1" tint="0.499984740745262"/>
      </font>
    </dxf>
    <dxf>
      <font>
        <color theme="1" tint="0.499984740745262"/>
      </font>
    </dxf>
    <dxf>
      <fill>
        <patternFill>
          <bgColor theme="2" tint="-0.249977111117893"/>
        </patternFill>
      </fill>
    </dxf>
    <dxf>
      <border>
        <top style="thin">
          <color auto="1"/>
        </top>
      </border>
    </dxf>
    <dxf>
      <border>
        <top style="thin">
          <color auto="1"/>
        </top>
      </border>
    </dxf>
    <dxf>
      <border>
        <bottom style="thick">
          <color auto="1"/>
        </bottom>
      </border>
    </dxf>
    <dxf>
      <border>
        <right style="thick">
          <color auto="1"/>
        </right>
      </border>
    </dxf>
    <dxf>
      <border>
        <top style="thick">
          <color auto="1"/>
        </top>
      </border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alignment horizontal="center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ill>
        <patternFill patternType="solid"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1"/>
      </font>
    </dxf>
    <dxf>
      <border>
        <top style="thick">
          <color auto="1"/>
        </top>
      </border>
    </dxf>
    <dxf>
      <border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ck">
          <color auto="1"/>
        </top>
        <bottom style="thick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bottom style="thick">
          <color auto="1"/>
        </bottom>
      </border>
    </dxf>
    <dxf>
      <fill>
        <patternFill>
          <bgColor theme="7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39997558519241921"/>
        </patternFill>
      </fill>
    </dxf>
    <dxf>
      <border>
        <top style="thick">
          <color auto="1"/>
        </top>
      </border>
    </dxf>
    <dxf>
      <border>
        <bottom style="thick">
          <color auto="1"/>
        </bottom>
      </border>
    </dxf>
    <dxf>
      <alignment wrapText="1"/>
    </dxf>
    <dxf>
      <alignment horizontal="center"/>
    </dxf>
    <dxf>
      <font>
        <b val="0"/>
      </font>
    </dxf>
    <dxf>
      <font>
        <b/>
      </font>
    </dxf>
    <dxf>
      <font>
        <color theme="1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border>
        <left style="thick">
          <color auto="1"/>
        </left>
      </border>
    </dxf>
    <dxf>
      <font>
        <i/>
      </font>
    </dxf>
    <dxf>
      <font>
        <i/>
      </font>
    </dxf>
    <dxf>
      <font>
        <color theme="1" tint="0.499984740745262"/>
      </font>
    </dxf>
    <dxf>
      <font>
        <color theme="1" tint="0.499984740745262"/>
      </font>
    </dxf>
    <dxf>
      <fill>
        <patternFill>
          <bgColor theme="2" tint="-0.249977111117893"/>
        </patternFill>
      </fill>
    </dxf>
    <dxf>
      <border>
        <top style="thin">
          <color auto="1"/>
        </top>
      </border>
    </dxf>
    <dxf>
      <border>
        <top style="thin">
          <color auto="1"/>
        </top>
      </border>
    </dxf>
    <dxf>
      <border>
        <bottom style="thick">
          <color auto="1"/>
        </bottom>
      </border>
    </dxf>
    <dxf>
      <border>
        <right style="thick">
          <color auto="1"/>
        </right>
      </border>
    </dxf>
    <dxf>
      <border>
        <top style="thick">
          <color auto="1"/>
        </top>
      </border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alignment horizontal="center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ill>
        <patternFill patternType="solid"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1"/>
      </font>
    </dxf>
    <dxf>
      <border>
        <top style="thick">
          <color auto="1"/>
        </top>
      </border>
    </dxf>
    <dxf>
      <border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ck">
          <color auto="1"/>
        </top>
        <bottom style="thick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bottom style="thick">
          <color auto="1"/>
        </bottom>
      </border>
    </dxf>
    <dxf>
      <fill>
        <patternFill>
          <bgColor theme="7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39997558519241921"/>
        </patternFill>
      </fill>
    </dxf>
    <dxf>
      <border>
        <top style="thick">
          <color auto="1"/>
        </top>
      </border>
    </dxf>
    <dxf>
      <border>
        <bottom style="thick">
          <color auto="1"/>
        </bottom>
      </border>
    </dxf>
    <dxf>
      <alignment wrapText="1"/>
    </dxf>
    <dxf>
      <alignment horizontal="center"/>
    </dxf>
    <dxf>
      <font>
        <b val="0"/>
      </font>
    </dxf>
    <dxf>
      <font>
        <b/>
      </font>
    </dxf>
    <dxf>
      <font>
        <color theme="1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border>
        <left style="thick">
          <color auto="1"/>
        </left>
      </border>
    </dxf>
    <dxf>
      <font>
        <i/>
      </font>
    </dxf>
    <dxf>
      <font>
        <i/>
      </font>
    </dxf>
    <dxf>
      <font>
        <color theme="1" tint="0.499984740745262"/>
      </font>
    </dxf>
    <dxf>
      <font>
        <color theme="1" tint="0.499984740745262"/>
      </font>
    </dxf>
    <dxf>
      <fill>
        <patternFill>
          <bgColor theme="2" tint="-0.249977111117893"/>
        </patternFill>
      </fill>
    </dxf>
    <dxf>
      <border>
        <top style="thin">
          <color auto="1"/>
        </top>
      </border>
    </dxf>
    <dxf>
      <border>
        <top style="thin">
          <color auto="1"/>
        </top>
      </border>
    </dxf>
    <dxf>
      <border>
        <bottom style="thick">
          <color auto="1"/>
        </bottom>
      </border>
    </dxf>
    <dxf>
      <border>
        <right style="thick">
          <color auto="1"/>
        </right>
      </border>
    </dxf>
    <dxf>
      <border>
        <top style="thick">
          <color auto="1"/>
        </top>
      </border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alignment horizontal="center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ill>
        <patternFill patternType="solid"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1"/>
      </font>
    </dxf>
    <dxf>
      <border>
        <top style="thick">
          <color auto="1"/>
        </top>
      </border>
    </dxf>
    <dxf>
      <border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ck">
          <color auto="1"/>
        </top>
        <bottom style="thick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bottom style="thick">
          <color auto="1"/>
        </bottom>
      </border>
    </dxf>
    <dxf>
      <fill>
        <patternFill>
          <bgColor theme="7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39997558519241921"/>
        </patternFill>
      </fill>
    </dxf>
    <dxf>
      <border>
        <top style="thick">
          <color auto="1"/>
        </top>
      </border>
    </dxf>
    <dxf>
      <border>
        <bottom style="thick">
          <color auto="1"/>
        </bottom>
      </border>
    </dxf>
    <dxf>
      <alignment wrapText="1"/>
    </dxf>
    <dxf>
      <alignment horizontal="center"/>
    </dxf>
    <dxf>
      <font>
        <b val="0"/>
      </font>
    </dxf>
    <dxf>
      <font>
        <b/>
      </font>
    </dxf>
    <dxf>
      <font>
        <color theme="1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border>
        <left style="thick">
          <color auto="1"/>
        </left>
      </border>
    </dxf>
    <dxf>
      <font>
        <i/>
      </font>
    </dxf>
    <dxf>
      <font>
        <i/>
      </font>
    </dxf>
    <dxf>
      <font>
        <color theme="1" tint="0.499984740745262"/>
      </font>
    </dxf>
    <dxf>
      <font>
        <color theme="1" tint="0.499984740745262"/>
      </font>
    </dxf>
    <dxf>
      <fill>
        <patternFill>
          <bgColor theme="2" tint="-0.249977111117893"/>
        </patternFill>
      </fill>
    </dxf>
    <dxf>
      <border>
        <top style="thin">
          <color auto="1"/>
        </top>
      </border>
    </dxf>
    <dxf>
      <border>
        <top style="thin">
          <color auto="1"/>
        </top>
      </border>
    </dxf>
    <dxf>
      <border>
        <bottom style="thick">
          <color auto="1"/>
        </bottom>
      </border>
    </dxf>
    <dxf>
      <border>
        <right style="thick">
          <color auto="1"/>
        </right>
      </border>
    </dxf>
    <dxf>
      <border>
        <top style="thick">
          <color auto="1"/>
        </top>
      </border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alignment horizontal="center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ill>
        <patternFill patternType="solid"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1"/>
      </font>
    </dxf>
    <dxf>
      <border>
        <top style="thick">
          <color auto="1"/>
        </top>
      </border>
    </dxf>
    <dxf>
      <border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ck">
          <color auto="1"/>
        </top>
        <bottom style="thick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bottom style="thick">
          <color auto="1"/>
        </bottom>
      </border>
    </dxf>
    <dxf>
      <fill>
        <patternFill>
          <bgColor theme="7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39997558519241921"/>
        </patternFill>
      </fill>
    </dxf>
    <dxf>
      <border>
        <top style="thick">
          <color auto="1"/>
        </top>
      </border>
    </dxf>
    <dxf>
      <border>
        <bottom style="thick">
          <color auto="1"/>
        </bottom>
      </border>
    </dxf>
    <dxf>
      <alignment wrapText="1"/>
    </dxf>
    <dxf>
      <alignment horizontal="center"/>
    </dxf>
    <dxf>
      <font>
        <b val="0"/>
      </font>
    </dxf>
    <dxf>
      <font>
        <b/>
      </font>
    </dxf>
    <dxf>
      <font>
        <color theme="1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border>
        <left style="thick">
          <color auto="1"/>
        </left>
      </border>
    </dxf>
    <dxf>
      <font>
        <i/>
      </font>
    </dxf>
    <dxf>
      <font>
        <i/>
      </font>
    </dxf>
    <dxf>
      <font>
        <color theme="1" tint="0.499984740745262"/>
      </font>
    </dxf>
    <dxf>
      <font>
        <color theme="1" tint="0.499984740745262"/>
      </font>
    </dxf>
    <dxf>
      <fill>
        <patternFill>
          <bgColor theme="2" tint="-0.249977111117893"/>
        </patternFill>
      </fill>
    </dxf>
    <dxf>
      <border>
        <top style="thin">
          <color auto="1"/>
        </top>
      </border>
    </dxf>
    <dxf>
      <border>
        <top style="thin">
          <color auto="1"/>
        </top>
      </border>
    </dxf>
    <dxf>
      <border>
        <bottom style="thick">
          <color auto="1"/>
        </bottom>
      </border>
    </dxf>
    <dxf>
      <border>
        <right style="thick">
          <color auto="1"/>
        </right>
      </border>
    </dxf>
    <dxf>
      <border>
        <top style="thick">
          <color auto="1"/>
        </top>
      </border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alignment horizontal="center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ill>
        <patternFill patternType="solid"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1"/>
      </font>
    </dxf>
    <dxf>
      <border>
        <top style="thick">
          <color auto="1"/>
        </top>
      </border>
    </dxf>
    <dxf>
      <border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ck">
          <color auto="1"/>
        </top>
        <bottom style="thick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bottom style="thick">
          <color auto="1"/>
        </bottom>
      </border>
    </dxf>
    <dxf>
      <fill>
        <patternFill>
          <bgColor theme="7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39997558519241921"/>
        </patternFill>
      </fill>
    </dxf>
    <dxf>
      <border>
        <top style="thick">
          <color auto="1"/>
        </top>
      </border>
    </dxf>
    <dxf>
      <border>
        <bottom style="thick">
          <color auto="1"/>
        </bottom>
      </border>
    </dxf>
    <dxf>
      <alignment wrapText="1"/>
    </dxf>
    <dxf>
      <alignment horizontal="center"/>
    </dxf>
    <dxf>
      <font>
        <b val="0"/>
      </font>
    </dxf>
    <dxf>
      <font>
        <b/>
      </font>
    </dxf>
    <dxf>
      <font>
        <color theme="1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border>
        <left style="thick">
          <color auto="1"/>
        </left>
      </border>
    </dxf>
    <dxf>
      <font>
        <i/>
      </font>
    </dxf>
    <dxf>
      <font>
        <i/>
      </font>
    </dxf>
    <dxf>
      <font>
        <color theme="1" tint="0.499984740745262"/>
      </font>
    </dxf>
    <dxf>
      <font>
        <color theme="1" tint="0.499984740745262"/>
      </font>
    </dxf>
    <dxf>
      <fill>
        <patternFill>
          <bgColor theme="2" tint="-0.249977111117893"/>
        </patternFill>
      </fill>
    </dxf>
    <dxf>
      <border>
        <top style="thin">
          <color auto="1"/>
        </top>
      </border>
    </dxf>
    <dxf>
      <border>
        <top style="thin">
          <color auto="1"/>
        </top>
      </border>
    </dxf>
    <dxf>
      <border>
        <bottom style="thick">
          <color auto="1"/>
        </bottom>
      </border>
    </dxf>
    <dxf>
      <border>
        <right style="thick">
          <color auto="1"/>
        </right>
      </border>
    </dxf>
    <dxf>
      <border>
        <top style="thick">
          <color auto="1"/>
        </top>
      </border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alignment horizontal="center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ill>
        <patternFill patternType="solid"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1"/>
      </font>
    </dxf>
    <dxf>
      <border>
        <top style="thick">
          <color auto="1"/>
        </top>
      </border>
    </dxf>
    <dxf>
      <border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ck">
          <color auto="1"/>
        </top>
        <bottom style="thick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bottom style="thick">
          <color auto="1"/>
        </bottom>
      </border>
    </dxf>
    <dxf>
      <fill>
        <patternFill>
          <bgColor theme="7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39997558519241921"/>
        </patternFill>
      </fill>
    </dxf>
    <dxf>
      <border>
        <top style="thick">
          <color auto="1"/>
        </top>
      </border>
    </dxf>
    <dxf>
      <border>
        <bottom style="thick">
          <color auto="1"/>
        </bottom>
      </border>
    </dxf>
    <dxf>
      <alignment wrapText="1"/>
    </dxf>
    <dxf>
      <alignment horizontal="center"/>
    </dxf>
    <dxf>
      <font>
        <b val="0"/>
      </font>
    </dxf>
    <dxf>
      <font>
        <b/>
      </font>
    </dxf>
    <dxf>
      <font>
        <color theme="1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border>
        <left style="thick">
          <color auto="1"/>
        </left>
      </border>
    </dxf>
    <dxf>
      <font>
        <i/>
      </font>
    </dxf>
    <dxf>
      <font>
        <i/>
      </font>
    </dxf>
    <dxf>
      <font>
        <color theme="1" tint="0.499984740745262"/>
      </font>
    </dxf>
    <dxf>
      <font>
        <color theme="1" tint="0.499984740745262"/>
      </font>
    </dxf>
    <dxf>
      <fill>
        <patternFill>
          <bgColor theme="2" tint="-0.249977111117893"/>
        </patternFill>
      </fill>
    </dxf>
    <dxf>
      <border>
        <top style="thin">
          <color auto="1"/>
        </top>
      </border>
    </dxf>
    <dxf>
      <border>
        <top style="thin">
          <color auto="1"/>
        </top>
      </border>
    </dxf>
    <dxf>
      <border>
        <bottom style="thick">
          <color auto="1"/>
        </bottom>
      </border>
    </dxf>
    <dxf>
      <border>
        <right style="thick">
          <color auto="1"/>
        </right>
      </border>
    </dxf>
    <dxf>
      <border>
        <top style="thick">
          <color auto="1"/>
        </top>
      </border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alignment horizontal="center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ill>
        <patternFill patternType="solid"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1"/>
      </font>
    </dxf>
    <dxf>
      <border>
        <top style="thick">
          <color auto="1"/>
        </top>
      </border>
    </dxf>
    <dxf>
      <border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ck">
          <color auto="1"/>
        </top>
        <bottom style="thick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bottom style="thick">
          <color auto="1"/>
        </bottom>
      </border>
    </dxf>
    <dxf>
      <fill>
        <patternFill>
          <bgColor theme="7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39997558519241921"/>
        </patternFill>
      </fill>
    </dxf>
    <dxf>
      <border>
        <top style="thick">
          <color auto="1"/>
        </top>
      </border>
    </dxf>
    <dxf>
      <border>
        <bottom style="thick">
          <color auto="1"/>
        </bottom>
      </border>
    </dxf>
    <dxf>
      <alignment wrapText="1"/>
    </dxf>
    <dxf>
      <alignment horizontal="center"/>
    </dxf>
    <dxf>
      <font>
        <b val="0"/>
      </font>
    </dxf>
    <dxf>
      <font>
        <b/>
      </font>
    </dxf>
    <dxf>
      <font>
        <color theme="1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border>
        <left style="thick">
          <color auto="1"/>
        </left>
      </border>
    </dxf>
    <dxf>
      <font>
        <i/>
      </font>
    </dxf>
    <dxf>
      <font>
        <i/>
      </font>
    </dxf>
    <dxf>
      <font>
        <color theme="1" tint="0.499984740745262"/>
      </font>
    </dxf>
    <dxf>
      <font>
        <color theme="1" tint="0.499984740745262"/>
      </font>
    </dxf>
    <dxf>
      <fill>
        <patternFill>
          <bgColor theme="2" tint="-0.249977111117893"/>
        </patternFill>
      </fill>
    </dxf>
    <dxf>
      <border>
        <top style="thin">
          <color auto="1"/>
        </top>
      </border>
    </dxf>
    <dxf>
      <border>
        <top style="thin">
          <color auto="1"/>
        </top>
      </border>
    </dxf>
    <dxf>
      <border>
        <bottom style="thick">
          <color auto="1"/>
        </bottom>
      </border>
    </dxf>
    <dxf>
      <border>
        <right style="thick">
          <color auto="1"/>
        </right>
      </border>
    </dxf>
    <dxf>
      <border>
        <top style="thick">
          <color auto="1"/>
        </top>
      </border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alignment horizontal="center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ill>
        <patternFill patternType="solid"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1"/>
      </font>
    </dxf>
    <dxf>
      <border>
        <top style="thick">
          <color auto="1"/>
        </top>
      </border>
    </dxf>
    <dxf>
      <border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ck">
          <color auto="1"/>
        </top>
        <bottom style="thick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bottom style="thick">
          <color auto="1"/>
        </bottom>
      </border>
    </dxf>
    <dxf>
      <fill>
        <patternFill>
          <bgColor theme="7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39997558519241921"/>
        </patternFill>
      </fill>
    </dxf>
    <dxf>
      <border>
        <top style="thick">
          <color auto="1"/>
        </top>
      </border>
    </dxf>
    <dxf>
      <border>
        <bottom style="thick">
          <color auto="1"/>
        </bottom>
      </border>
    </dxf>
    <dxf>
      <alignment wrapText="1"/>
    </dxf>
    <dxf>
      <alignment horizontal="center"/>
    </dxf>
    <dxf>
      <font>
        <b val="0"/>
      </font>
    </dxf>
    <dxf>
      <font>
        <b/>
      </font>
    </dxf>
    <dxf>
      <font>
        <color theme="1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border>
        <left style="thick">
          <color auto="1"/>
        </left>
      </border>
    </dxf>
    <dxf>
      <font>
        <i/>
      </font>
    </dxf>
    <dxf>
      <font>
        <i/>
      </font>
    </dxf>
    <dxf>
      <font>
        <color theme="1" tint="0.499984740745262"/>
      </font>
    </dxf>
    <dxf>
      <font>
        <color theme="1" tint="0.499984740745262"/>
      </font>
    </dxf>
    <dxf>
      <fill>
        <patternFill>
          <bgColor theme="2" tint="-0.249977111117893"/>
        </patternFill>
      </fill>
    </dxf>
    <dxf>
      <border>
        <top style="thin">
          <color auto="1"/>
        </top>
      </border>
    </dxf>
    <dxf>
      <border>
        <top style="thin">
          <color auto="1"/>
        </top>
      </border>
    </dxf>
    <dxf>
      <border>
        <bottom style="thick">
          <color auto="1"/>
        </bottom>
      </border>
    </dxf>
    <dxf>
      <border>
        <right style="thick">
          <color auto="1"/>
        </right>
      </border>
    </dxf>
    <dxf>
      <border>
        <top style="thick">
          <color auto="1"/>
        </top>
      </border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5" formatCode="[$-40C]d\-m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/>
        <horizontal/>
      </border>
    </dxf>
    <dxf>
      <alignment horizontal="center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ill>
        <patternFill patternType="solid"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1"/>
      </font>
    </dxf>
    <dxf>
      <border>
        <top style="thick">
          <color auto="1"/>
        </top>
      </border>
    </dxf>
    <dxf>
      <border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ck">
          <color auto="1"/>
        </top>
        <bottom style="thick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bottom style="thick">
          <color auto="1"/>
        </bottom>
      </border>
    </dxf>
    <dxf>
      <fill>
        <patternFill>
          <bgColor theme="7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39997558519241921"/>
        </patternFill>
      </fill>
    </dxf>
    <dxf>
      <border>
        <top style="thick">
          <color auto="1"/>
        </top>
      </border>
    </dxf>
    <dxf>
      <border>
        <bottom style="thick">
          <color auto="1"/>
        </bottom>
      </border>
    </dxf>
    <dxf>
      <alignment wrapText="1"/>
    </dxf>
    <dxf>
      <alignment horizontal="center"/>
    </dxf>
    <dxf>
      <font>
        <b val="0"/>
      </font>
    </dxf>
    <dxf>
      <font>
        <b/>
      </font>
    </dxf>
    <dxf>
      <font>
        <color theme="1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border>
        <left style="thick">
          <color auto="1"/>
        </left>
      </border>
    </dxf>
    <dxf>
      <font>
        <i/>
      </font>
    </dxf>
    <dxf>
      <font>
        <i/>
      </font>
    </dxf>
    <dxf>
      <font>
        <color theme="1" tint="0.499984740745262"/>
      </font>
    </dxf>
    <dxf>
      <font>
        <color theme="1" tint="0.499984740745262"/>
      </font>
    </dxf>
    <dxf>
      <fill>
        <patternFill>
          <bgColor theme="2" tint="-0.249977111117893"/>
        </patternFill>
      </fill>
    </dxf>
    <dxf>
      <border>
        <top style="thin">
          <color auto="1"/>
        </top>
      </border>
    </dxf>
    <dxf>
      <border>
        <top style="thin">
          <color auto="1"/>
        </top>
      </border>
    </dxf>
    <dxf>
      <border>
        <bottom style="thick">
          <color auto="1"/>
        </bottom>
      </border>
    </dxf>
    <dxf>
      <border>
        <right style="thick">
          <color auto="1"/>
        </right>
      </border>
    </dxf>
    <dxf>
      <border>
        <top style="thick">
          <color auto="1"/>
        </top>
      </border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alignment horizontal="center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ill>
        <patternFill patternType="solid"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1"/>
      </font>
    </dxf>
    <dxf>
      <border>
        <top style="thick">
          <color auto="1"/>
        </top>
      </border>
    </dxf>
    <dxf>
      <border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ck">
          <color auto="1"/>
        </top>
        <bottom style="thick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bottom style="thick">
          <color auto="1"/>
        </bottom>
      </border>
    </dxf>
    <dxf>
      <fill>
        <patternFill>
          <bgColor theme="7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39997558519241921"/>
        </patternFill>
      </fill>
    </dxf>
    <dxf>
      <border>
        <top style="thick">
          <color auto="1"/>
        </top>
      </border>
    </dxf>
    <dxf>
      <border>
        <bottom style="thick">
          <color auto="1"/>
        </bottom>
      </border>
    </dxf>
    <dxf>
      <alignment wrapText="1"/>
    </dxf>
    <dxf>
      <alignment horizontal="center"/>
    </dxf>
    <dxf>
      <font>
        <b val="0"/>
      </font>
    </dxf>
    <dxf>
      <font>
        <b/>
      </font>
    </dxf>
    <dxf>
      <font>
        <color theme="1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border>
        <left style="thick">
          <color auto="1"/>
        </left>
      </border>
    </dxf>
    <dxf>
      <font>
        <i/>
      </font>
    </dxf>
    <dxf>
      <font>
        <i/>
      </font>
    </dxf>
    <dxf>
      <font>
        <color theme="1" tint="0.499984740745262"/>
      </font>
    </dxf>
    <dxf>
      <font>
        <color theme="1" tint="0.499984740745262"/>
      </font>
    </dxf>
    <dxf>
      <fill>
        <patternFill>
          <bgColor theme="2" tint="-0.249977111117893"/>
        </patternFill>
      </fill>
    </dxf>
    <dxf>
      <border>
        <top style="thin">
          <color auto="1"/>
        </top>
      </border>
    </dxf>
    <dxf>
      <border>
        <top style="thin">
          <color auto="1"/>
        </top>
      </border>
    </dxf>
    <dxf>
      <border>
        <bottom style="thick">
          <color auto="1"/>
        </bottom>
      </border>
    </dxf>
    <dxf>
      <border>
        <right style="thick">
          <color auto="1"/>
        </right>
      </border>
    </dxf>
    <dxf>
      <border>
        <top style="thick">
          <color auto="1"/>
        </top>
      </border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alignment horizontal="center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ill>
        <patternFill patternType="solid"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1"/>
      </font>
    </dxf>
    <dxf>
      <border>
        <top style="thick">
          <color auto="1"/>
        </top>
      </border>
    </dxf>
    <dxf>
      <border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ck">
          <color auto="1"/>
        </top>
        <bottom style="thick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bottom style="thick">
          <color auto="1"/>
        </bottom>
      </border>
    </dxf>
    <dxf>
      <fill>
        <patternFill>
          <bgColor theme="7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39997558519241921"/>
        </patternFill>
      </fill>
    </dxf>
    <dxf>
      <border>
        <top style="thick">
          <color auto="1"/>
        </top>
      </border>
    </dxf>
    <dxf>
      <border>
        <bottom style="thick">
          <color auto="1"/>
        </bottom>
      </border>
    </dxf>
    <dxf>
      <alignment wrapText="1"/>
    </dxf>
    <dxf>
      <alignment horizontal="center"/>
    </dxf>
    <dxf>
      <font>
        <b val="0"/>
      </font>
    </dxf>
    <dxf>
      <font>
        <b/>
      </font>
    </dxf>
    <dxf>
      <font>
        <color theme="1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border>
        <left style="thick">
          <color auto="1"/>
        </left>
      </border>
    </dxf>
    <dxf>
      <font>
        <i/>
      </font>
    </dxf>
    <dxf>
      <font>
        <i/>
      </font>
    </dxf>
    <dxf>
      <font>
        <color theme="1" tint="0.499984740745262"/>
      </font>
    </dxf>
    <dxf>
      <font>
        <color theme="1" tint="0.499984740745262"/>
      </font>
    </dxf>
    <dxf>
      <fill>
        <patternFill>
          <bgColor theme="2" tint="-0.249977111117893"/>
        </patternFill>
      </fill>
    </dxf>
    <dxf>
      <border>
        <top style="thin">
          <color auto="1"/>
        </top>
      </border>
    </dxf>
    <dxf>
      <border>
        <top style="thin">
          <color auto="1"/>
        </top>
      </border>
    </dxf>
    <dxf>
      <border>
        <bottom style="thick">
          <color auto="1"/>
        </bottom>
      </border>
    </dxf>
    <dxf>
      <border>
        <right style="thick">
          <color auto="1"/>
        </right>
      </border>
    </dxf>
    <dxf>
      <border>
        <top style="thick">
          <color auto="1"/>
        </top>
      </border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alignment horizontal="center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ill>
        <patternFill patternType="solid"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1"/>
      </font>
    </dxf>
    <dxf>
      <border>
        <top style="thick">
          <color auto="1"/>
        </top>
      </border>
    </dxf>
    <dxf>
      <border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ck">
          <color auto="1"/>
        </top>
        <bottom style="thick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bottom style="thick">
          <color auto="1"/>
        </bottom>
      </border>
    </dxf>
    <dxf>
      <fill>
        <patternFill>
          <bgColor theme="7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39997558519241921"/>
        </patternFill>
      </fill>
    </dxf>
    <dxf>
      <border>
        <top style="thick">
          <color auto="1"/>
        </top>
      </border>
    </dxf>
    <dxf>
      <border>
        <bottom style="thick">
          <color auto="1"/>
        </bottom>
      </border>
    </dxf>
    <dxf>
      <alignment wrapText="1"/>
    </dxf>
    <dxf>
      <alignment horizontal="center"/>
    </dxf>
    <dxf>
      <font>
        <b val="0"/>
      </font>
    </dxf>
    <dxf>
      <font>
        <b/>
      </font>
    </dxf>
    <dxf>
      <font>
        <color theme="1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border>
        <left style="thick">
          <color auto="1"/>
        </left>
      </border>
    </dxf>
    <dxf>
      <font>
        <i/>
      </font>
    </dxf>
    <dxf>
      <font>
        <i/>
      </font>
    </dxf>
    <dxf>
      <font>
        <color theme="1" tint="0.499984740745262"/>
      </font>
    </dxf>
    <dxf>
      <font>
        <color theme="1" tint="0.499984740745262"/>
      </font>
    </dxf>
    <dxf>
      <fill>
        <patternFill>
          <bgColor theme="2" tint="-0.249977111117893"/>
        </patternFill>
      </fill>
    </dxf>
    <dxf>
      <border>
        <top style="thin">
          <color auto="1"/>
        </top>
      </border>
    </dxf>
    <dxf>
      <border>
        <top style="thin">
          <color auto="1"/>
        </top>
      </border>
    </dxf>
    <dxf>
      <border>
        <bottom style="thick">
          <color auto="1"/>
        </bottom>
      </border>
    </dxf>
    <dxf>
      <border>
        <right style="thick">
          <color auto="1"/>
        </right>
      </border>
    </dxf>
    <dxf>
      <border>
        <top style="thick">
          <color auto="1"/>
        </top>
      </border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alignment horizontal="center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ill>
        <patternFill patternType="solid"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1"/>
      </font>
    </dxf>
    <dxf>
      <border>
        <top style="thick">
          <color auto="1"/>
        </top>
      </border>
    </dxf>
    <dxf>
      <border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ck">
          <color auto="1"/>
        </top>
        <bottom style="thick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bottom style="thick">
          <color auto="1"/>
        </bottom>
      </border>
    </dxf>
    <dxf>
      <fill>
        <patternFill>
          <bgColor theme="7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39997558519241921"/>
        </patternFill>
      </fill>
    </dxf>
    <dxf>
      <border>
        <top style="thick">
          <color auto="1"/>
        </top>
      </border>
    </dxf>
    <dxf>
      <border>
        <bottom style="thick">
          <color auto="1"/>
        </bottom>
      </border>
    </dxf>
    <dxf>
      <alignment wrapText="1"/>
    </dxf>
    <dxf>
      <alignment horizontal="center"/>
    </dxf>
    <dxf>
      <font>
        <b val="0"/>
      </font>
    </dxf>
    <dxf>
      <font>
        <b/>
      </font>
    </dxf>
    <dxf>
      <font>
        <color theme="1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border>
        <left style="thick">
          <color auto="1"/>
        </left>
      </border>
    </dxf>
    <dxf>
      <font>
        <i/>
      </font>
    </dxf>
    <dxf>
      <font>
        <i/>
      </font>
    </dxf>
    <dxf>
      <font>
        <color theme="1" tint="0.499984740745262"/>
      </font>
    </dxf>
    <dxf>
      <font>
        <color theme="1" tint="0.499984740745262"/>
      </font>
    </dxf>
    <dxf>
      <fill>
        <patternFill>
          <bgColor theme="2" tint="-0.249977111117893"/>
        </patternFill>
      </fill>
    </dxf>
    <dxf>
      <border>
        <top style="thin">
          <color auto="1"/>
        </top>
      </border>
    </dxf>
    <dxf>
      <border>
        <top style="thin">
          <color auto="1"/>
        </top>
      </border>
    </dxf>
    <dxf>
      <border>
        <bottom style="thick">
          <color auto="1"/>
        </bottom>
      </border>
    </dxf>
    <dxf>
      <border>
        <right style="thick">
          <color auto="1"/>
        </right>
      </border>
    </dxf>
    <dxf>
      <border>
        <top style="thick">
          <color auto="1"/>
        </top>
      </border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alignment horizontal="center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ill>
        <patternFill patternType="solid"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1"/>
      </font>
    </dxf>
    <dxf>
      <border>
        <top style="thick">
          <color auto="1"/>
        </top>
      </border>
    </dxf>
    <dxf>
      <border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ck">
          <color auto="1"/>
        </top>
        <bottom style="thick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bottom style="thick">
          <color auto="1"/>
        </bottom>
      </border>
    </dxf>
    <dxf>
      <fill>
        <patternFill>
          <bgColor theme="7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39997558519241921"/>
        </patternFill>
      </fill>
    </dxf>
    <dxf>
      <border>
        <top style="thick">
          <color auto="1"/>
        </top>
      </border>
    </dxf>
    <dxf>
      <border>
        <bottom style="thick">
          <color auto="1"/>
        </bottom>
      </border>
    </dxf>
    <dxf>
      <alignment wrapText="1"/>
    </dxf>
    <dxf>
      <alignment horizontal="center"/>
    </dxf>
    <dxf>
      <font>
        <b val="0"/>
      </font>
    </dxf>
    <dxf>
      <font>
        <b/>
      </font>
    </dxf>
    <dxf>
      <font>
        <color theme="1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border>
        <left style="thick">
          <color auto="1"/>
        </left>
      </border>
    </dxf>
    <dxf>
      <font>
        <i/>
      </font>
    </dxf>
    <dxf>
      <font>
        <i/>
      </font>
    </dxf>
    <dxf>
      <font>
        <color theme="1" tint="0.499984740745262"/>
      </font>
    </dxf>
    <dxf>
      <font>
        <color theme="1" tint="0.499984740745262"/>
      </font>
    </dxf>
    <dxf>
      <fill>
        <patternFill>
          <bgColor theme="2" tint="-0.249977111117893"/>
        </patternFill>
      </fill>
    </dxf>
    <dxf>
      <border>
        <top style="thin">
          <color auto="1"/>
        </top>
      </border>
    </dxf>
    <dxf>
      <border>
        <top style="thin">
          <color auto="1"/>
        </top>
      </border>
    </dxf>
    <dxf>
      <border>
        <bottom style="thick">
          <color auto="1"/>
        </bottom>
      </border>
    </dxf>
    <dxf>
      <border>
        <right style="thick">
          <color auto="1"/>
        </right>
      </border>
    </dxf>
    <dxf>
      <border>
        <top style="thick">
          <color auto="1"/>
        </top>
      </border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alignment horizontal="center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ill>
        <patternFill patternType="solid"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1"/>
      </font>
    </dxf>
    <dxf>
      <border>
        <top style="thick">
          <color auto="1"/>
        </top>
      </border>
    </dxf>
    <dxf>
      <border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ck">
          <color auto="1"/>
        </top>
        <bottom style="thick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bottom style="thick">
          <color auto="1"/>
        </bottom>
      </border>
    </dxf>
    <dxf>
      <fill>
        <patternFill>
          <bgColor theme="7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39997558519241921"/>
        </patternFill>
      </fill>
    </dxf>
    <dxf>
      <border>
        <top style="thick">
          <color auto="1"/>
        </top>
      </border>
    </dxf>
    <dxf>
      <border>
        <bottom style="thick">
          <color auto="1"/>
        </bottom>
      </border>
    </dxf>
    <dxf>
      <alignment wrapText="1"/>
    </dxf>
    <dxf>
      <alignment horizontal="center"/>
    </dxf>
    <dxf>
      <font>
        <b val="0"/>
      </font>
    </dxf>
    <dxf>
      <font>
        <b/>
      </font>
    </dxf>
    <dxf>
      <font>
        <color theme="1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border>
        <left style="thick">
          <color auto="1"/>
        </left>
      </border>
    </dxf>
    <dxf>
      <font>
        <i/>
      </font>
    </dxf>
    <dxf>
      <font>
        <i/>
      </font>
    </dxf>
    <dxf>
      <font>
        <color theme="1" tint="0.499984740745262"/>
      </font>
    </dxf>
    <dxf>
      <font>
        <color theme="1" tint="0.499984740745262"/>
      </font>
    </dxf>
    <dxf>
      <fill>
        <patternFill>
          <bgColor theme="2" tint="-0.249977111117893"/>
        </patternFill>
      </fill>
    </dxf>
    <dxf>
      <border>
        <top style="thin">
          <color auto="1"/>
        </top>
      </border>
    </dxf>
    <dxf>
      <border>
        <top style="thin">
          <color auto="1"/>
        </top>
      </border>
    </dxf>
    <dxf>
      <border>
        <bottom style="thick">
          <color auto="1"/>
        </bottom>
      </border>
    </dxf>
    <dxf>
      <border>
        <right style="thick">
          <color auto="1"/>
        </right>
      </border>
    </dxf>
    <dxf>
      <border>
        <top style="thick">
          <color auto="1"/>
        </top>
      </border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numFmt numFmtId="165" formatCode="[$-40C]d\-mmm;@"/>
    </dxf>
    <dxf>
      <numFmt numFmtId="4" formatCode="#,##0.00"/>
    </dxf>
    <dxf>
      <alignment wrapText="1"/>
    </dxf>
    <dxf>
      <numFmt numFmtId="4" formatCode="#,##0.00"/>
    </dxf>
    <dxf>
      <alignment vertical="center"/>
    </dxf>
    <dxf>
      <alignment horizontal="center"/>
    </dxf>
    <dxf>
      <fill>
        <patternFill patternType="solid">
          <bgColor theme="4" tint="0.79998168889431442"/>
        </patternFill>
      </fill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alignment wrapText="1"/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border>
        <left style="thick">
          <color auto="1"/>
        </left>
        <right style="thick">
          <color auto="1"/>
        </righ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ck">
          <color auto="1"/>
        </left>
        <top style="thick">
          <color auto="1"/>
        </top>
        <bottom style="thick">
          <color auto="1"/>
        </bottom>
      </border>
    </dxf>
    <dxf>
      <fill>
        <patternFill>
          <bgColor theme="9" tint="0.59999389629810485"/>
        </patternFill>
      </fill>
    </dxf>
    <dxf>
      <fill>
        <patternFill>
          <bgColor theme="9" tint="0.39997558519241921"/>
        </patternFill>
      </fill>
    </dxf>
    <dxf>
      <alignment vertical="center"/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</border>
    </dxf>
    <dxf>
      <border>
        <left style="thick">
          <color auto="1"/>
        </left>
        <right style="thick">
          <color auto="1"/>
        </right>
      </border>
    </dxf>
    <dxf>
      <border>
        <horizontal style="thin">
          <color auto="1"/>
        </horizontal>
      </border>
    </dxf>
    <dxf>
      <alignment horizontal="center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ill>
        <patternFill patternType="solid"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1"/>
      </font>
    </dxf>
    <dxf>
      <border>
        <top style="thick">
          <color auto="1"/>
        </top>
      </border>
    </dxf>
    <dxf>
      <border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ck">
          <color auto="1"/>
        </top>
        <bottom style="thick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bottom style="thick">
          <color auto="1"/>
        </bottom>
      </border>
    </dxf>
    <dxf>
      <fill>
        <patternFill>
          <bgColor theme="7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39997558519241921"/>
        </patternFill>
      </fill>
    </dxf>
    <dxf>
      <border>
        <top style="thick">
          <color auto="1"/>
        </top>
      </border>
    </dxf>
    <dxf>
      <border>
        <bottom style="thick">
          <color auto="1"/>
        </bottom>
      </border>
    </dxf>
    <dxf>
      <alignment wrapText="1"/>
    </dxf>
    <dxf>
      <alignment horizontal="center"/>
    </dxf>
    <dxf>
      <font>
        <b val="0"/>
      </font>
    </dxf>
    <dxf>
      <font>
        <b/>
      </font>
    </dxf>
    <dxf>
      <font>
        <color theme="1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border>
        <left style="thick">
          <color auto="1"/>
        </left>
      </border>
    </dxf>
    <dxf>
      <font>
        <i/>
      </font>
    </dxf>
    <dxf>
      <font>
        <i/>
      </font>
    </dxf>
    <dxf>
      <font>
        <color theme="1" tint="0.499984740745262"/>
      </font>
    </dxf>
    <dxf>
      <font>
        <color theme="1" tint="0.499984740745262"/>
      </font>
    </dxf>
    <dxf>
      <fill>
        <patternFill>
          <bgColor theme="2" tint="-0.249977111117893"/>
        </patternFill>
      </fill>
    </dxf>
    <dxf>
      <border>
        <top style="thin">
          <color auto="1"/>
        </top>
      </border>
    </dxf>
    <dxf>
      <border>
        <top style="thin">
          <color auto="1"/>
        </top>
      </border>
    </dxf>
    <dxf>
      <border>
        <bottom style="thick">
          <color auto="1"/>
        </bottom>
      </border>
    </dxf>
    <dxf>
      <border>
        <right style="thick">
          <color auto="1"/>
        </right>
      </border>
    </dxf>
    <dxf>
      <border>
        <top style="thick">
          <color auto="1"/>
        </top>
      </border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border>
        <horizontal style="thin">
          <color auto="1"/>
        </horizontal>
      </border>
    </dxf>
    <dxf>
      <border>
        <left style="thick">
          <color auto="1"/>
        </left>
        <right style="thick">
          <color auto="1"/>
        </right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</border>
    </dxf>
    <dxf>
      <alignment vertical="center"/>
    </dxf>
    <dxf>
      <fill>
        <patternFill>
          <bgColor theme="9" tint="0.39997558519241921"/>
        </patternFill>
      </fill>
    </dxf>
    <dxf>
      <fill>
        <patternFill>
          <bgColor theme="9" tint="0.59999389629810485"/>
        </patternFill>
      </fill>
    </dxf>
    <dxf>
      <border>
        <left style="thick">
          <color auto="1"/>
        </lef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alignment wrapText="1"/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ill>
        <patternFill patternType="solid">
          <bgColor theme="4" tint="0.79998168889431442"/>
        </patternFill>
      </fill>
    </dxf>
    <dxf>
      <alignment horizontal="center"/>
    </dxf>
    <dxf>
      <alignment vertical="center"/>
    </dxf>
    <dxf>
      <numFmt numFmtId="4" formatCode="#,##0.00"/>
    </dxf>
    <dxf>
      <alignment wrapText="1"/>
    </dxf>
    <dxf>
      <numFmt numFmtId="4" formatCode="#,##0.00"/>
    </dxf>
    <dxf>
      <numFmt numFmtId="165" formatCode="[$-40C]d\-mmm;@"/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border>
        <top style="thick">
          <color auto="1"/>
        </top>
      </border>
    </dxf>
    <dxf>
      <border>
        <right style="thick">
          <color auto="1"/>
        </right>
      </border>
    </dxf>
    <dxf>
      <border>
        <bottom style="thick">
          <color auto="1"/>
        </bottom>
      </border>
    </dxf>
    <dxf>
      <border>
        <top style="thin">
          <color auto="1"/>
        </top>
      </border>
    </dxf>
    <dxf>
      <border>
        <top style="thin">
          <color auto="1"/>
        </top>
      </border>
    </dxf>
    <dxf>
      <fill>
        <patternFill>
          <bgColor theme="2" tint="-0.249977111117893"/>
        </patternFill>
      </fill>
    </dxf>
    <dxf>
      <font>
        <color theme="1" tint="0.499984740745262"/>
      </font>
    </dxf>
    <dxf>
      <font>
        <color theme="1" tint="0.499984740745262"/>
      </font>
    </dxf>
    <dxf>
      <font>
        <i/>
      </font>
    </dxf>
    <dxf>
      <font>
        <i/>
      </font>
    </dxf>
    <dxf>
      <border>
        <left style="thick">
          <color auto="1"/>
        </left>
      </border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name val="Arial"/>
        <family val="2"/>
      </font>
    </dxf>
    <dxf>
      <font>
        <color theme="1"/>
      </font>
    </dxf>
    <dxf>
      <font>
        <b/>
      </font>
    </dxf>
    <dxf>
      <font>
        <b val="0"/>
      </font>
    </dxf>
    <dxf>
      <alignment horizontal="center"/>
    </dxf>
    <dxf>
      <alignment wrapText="1"/>
    </dxf>
    <dxf>
      <border>
        <bottom style="thick">
          <color auto="1"/>
        </bottom>
      </border>
    </dxf>
    <dxf>
      <border>
        <top style="thick">
          <color auto="1"/>
        </top>
      </border>
    </dxf>
    <dxf>
      <fill>
        <patternFill>
          <bgColor theme="8" tint="0.39997558519241921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7" tint="0.59999389629810485"/>
        </patternFill>
      </fill>
    </dxf>
    <dxf>
      <border>
        <bottom style="thick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ck">
          <color auto="1"/>
        </top>
        <bottom style="thick">
          <color auto="1"/>
        </bottom>
      </border>
    </dxf>
    <dxf>
      <border>
        <top style="thick">
          <color auto="1"/>
        </top>
      </border>
    </dxf>
    <dxf>
      <font>
        <color theme="1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 patternType="solid">
          <fgColor indexed="64"/>
          <bgColor theme="8" tint="0.59996337778862885"/>
        </patternFill>
      </fill>
    </dxf>
    <dxf>
      <fill>
        <patternFill patternType="solid">
          <fgColor indexed="64"/>
          <bgColor theme="8" tint="0.59996337778862885"/>
        </patternFill>
      </fill>
    </dxf>
    <dxf>
      <fill>
        <patternFill patternType="solid">
          <bgColor theme="8" tint="0.59996337778862885"/>
        </patternFill>
      </fill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thick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thick">
          <color auto="1"/>
        </left>
        <right style="dotted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thin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/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1" formatCode="dd\-mmm"/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1" formatCode="dd\-m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dotted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thin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thin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thick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thick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" formatCode="#,##0"/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" formatCode="#,##0"/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dotted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dotted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5" formatCode="[$-40C]d\-mmm;@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5" formatCode="[$-40C]d\-mmm;@"/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5" formatCode="[$-40C]d\-mmm;@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6" formatCode="[$-40C]ddd"/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dotted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6" formatCode="[$-40C]ddd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dotted">
          <color auto="1"/>
        </right>
        <top/>
        <bottom/>
        <vertical/>
        <horizontal/>
      </border>
    </dxf>
    <dxf>
      <border>
        <top style="thick">
          <color auto="1"/>
        </top>
      </border>
    </dxf>
    <dxf>
      <border outline="0">
        <left style="thick">
          <color auto="1"/>
        </left>
        <right style="thick">
          <color auto="1"/>
        </right>
        <top style="medium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color theme="0" tint="-0.14996795556505021"/>
      </font>
    </dxf>
    <dxf>
      <fill>
        <patternFill patternType="solid">
          <fgColor theme="8" tint="0.79995117038483843"/>
          <bgColor theme="9" tint="0.79998168889431442"/>
        </patternFill>
      </fill>
    </dxf>
    <dxf>
      <fill>
        <patternFill patternType="solid">
          <fgColor theme="8" tint="0.79989013336588644"/>
          <bgColor theme="9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8" tint="0.79995117038483843"/>
          <bgColor theme="9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none">
          <fgColor indexed="64"/>
          <bgColor auto="1"/>
        </patternFill>
      </fill>
    </dxf>
    <dxf>
      <font>
        <b/>
        <color theme="1"/>
      </font>
      <border>
        <left style="medium">
          <color theme="8" tint="0.59999389629810485"/>
        </left>
        <right style="medium">
          <color theme="8" tint="0.59999389629810485"/>
        </right>
        <top style="medium">
          <color theme="8" tint="0.59999389629810485"/>
        </top>
        <bottom style="medium">
          <color theme="8" tint="0.59999389629810485"/>
        </bottom>
      </border>
    </dxf>
    <dxf>
      <fill>
        <patternFill patternType="none">
          <bgColor auto="1"/>
        </patternFill>
      </fill>
      <border>
        <left style="thin">
          <color theme="8" tint="0.39997558519241921"/>
        </left>
        <right style="thin">
          <color theme="8" tint="0.39997558519241921"/>
        </right>
      </border>
    </dxf>
    <dxf>
      <fill>
        <patternFill patternType="none">
          <bgColor auto="1"/>
        </patternFill>
      </fill>
      <border>
        <top style="thin">
          <color theme="8" tint="0.39997558519241921"/>
        </top>
        <bottom style="thin">
          <color theme="8" tint="0.39997558519241921"/>
        </bottom>
        <horizontal style="thin">
          <color theme="8" tint="0.39997558519241921"/>
        </horizontal>
      </border>
    </dxf>
    <dxf>
      <font>
        <b/>
        <color theme="1"/>
      </font>
      <fill>
        <patternFill>
          <bgColor theme="7" tint="0.59996337778862885"/>
        </patternFill>
      </fill>
      <border>
        <left style="thick">
          <color theme="1"/>
        </left>
        <right style="thick">
          <color theme="1"/>
        </right>
        <top style="thick">
          <color theme="1"/>
        </top>
        <bottom style="thick">
          <color theme="1"/>
        </bottom>
        <vertical style="thin">
          <color theme="1"/>
        </vertical>
      </border>
    </dxf>
    <dxf>
      <font>
        <b/>
        <color theme="0"/>
      </font>
      <fill>
        <patternFill patternType="solid">
          <fgColor theme="8"/>
          <bgColor theme="8"/>
        </patternFill>
      </fill>
      <border>
        <left style="thick">
          <color theme="1"/>
        </left>
        <right style="thick">
          <color theme="1"/>
        </right>
        <top style="thick">
          <color theme="1"/>
        </top>
        <bottom style="thick">
          <color theme="1"/>
        </bottom>
        <vertical style="thin">
          <color theme="1"/>
        </vertical>
      </border>
    </dxf>
    <dxf>
      <font>
        <color theme="1"/>
      </font>
      <border>
        <top style="thin">
          <color auto="1"/>
        </top>
        <bottom style="thin">
          <color auto="1"/>
        </bottom>
        <horizontal style="thin">
          <color auto="1"/>
        </horizontal>
      </border>
    </dxf>
  </dxfs>
  <tableStyles count="1" defaultTableStyle="TableStyleMedium9" defaultPivotStyle="PivotStyleLight16">
    <tableStyle name="RECETTE" table="0" count="12" xr9:uid="{EB60566F-FA6F-4DF0-A809-2D3513B83807}">
      <tableStyleElement type="wholeTable" dxfId="1302"/>
      <tableStyleElement type="headerRow" dxfId="1301"/>
      <tableStyleElement type="totalRow" dxfId="1300"/>
      <tableStyleElement type="firstRowStripe" dxfId="1299"/>
      <tableStyleElement type="firstColumnStripe" dxfId="1298"/>
      <tableStyleElement type="firstSubtotalColumn" dxfId="1297"/>
      <tableStyleElement type="firstSubtotalRow" dxfId="1296"/>
      <tableStyleElement type="secondSubtotalRow" dxfId="1295"/>
      <tableStyleElement type="firstRowSubheading" dxfId="1294"/>
      <tableStyleElement type="secondRowSubheading" dxfId="1293"/>
      <tableStyleElement type="pageFieldLabels" dxfId="1292"/>
      <tableStyleElement type="pageFieldValues" dxfId="1291"/>
    </tableStyle>
  </tableStyles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55" Type="http://schemas.microsoft.com/office/2017/10/relationships/person" Target="persons/person3.xml"/><Relationship Id="rId7" Type="http://schemas.microsoft.com/office/2007/relationships/slicerCache" Target="slicerCaches/slicerCache3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54" Type="http://schemas.microsoft.com/office/2017/10/relationships/person" Target="persons/person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3" Type="http://schemas.microsoft.com/office/2017/10/relationships/person" Target="persons/person0.xml"/><Relationship Id="rId58" Type="http://schemas.microsoft.com/office/2017/10/relationships/person" Target="persons/person4.xml"/><Relationship Id="rId5" Type="http://schemas.microsoft.com/office/2007/relationships/slicerCache" Target="slicerCaches/slicerCache1.xml"/><Relationship Id="rId57" Type="http://schemas.microsoft.com/office/2017/10/relationships/person" Target="persons/person5.xml"/><Relationship Id="rId10" Type="http://schemas.openxmlformats.org/officeDocument/2006/relationships/sharedStrings" Target="sharedStrings.xml"/><Relationship Id="rId52" Type="http://schemas.microsoft.com/office/2017/10/relationships/person" Target="persons/person1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Relationship Id="rId56" Type="http://schemas.microsoft.com/office/2017/10/relationships/person" Target="persons/person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224117</xdr:colOff>
      <xdr:row>13</xdr:row>
      <xdr:rowOff>127746</xdr:rowOff>
    </xdr:from>
    <xdr:to>
      <xdr:col>22</xdr:col>
      <xdr:colOff>67235</xdr:colOff>
      <xdr:row>27</xdr:row>
      <xdr:rowOff>79190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EPART 1">
              <a:extLst>
                <a:ext uri="{FF2B5EF4-FFF2-40B4-BE49-F238E27FC236}">
                  <a16:creationId xmlns:a16="http://schemas.microsoft.com/office/drawing/2014/main" id="{E8B277FE-C465-35FC-1BDE-F32C9131E1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PART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54764" y="3325158"/>
              <a:ext cx="3675530" cy="227778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444500</xdr:colOff>
      <xdr:row>0</xdr:row>
      <xdr:rowOff>88900</xdr:rowOff>
    </xdr:from>
    <xdr:to>
      <xdr:col>15</xdr:col>
      <xdr:colOff>57150</xdr:colOff>
      <xdr:row>6</xdr:row>
      <xdr:rowOff>490997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is2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944100" y="88900"/>
              <a:ext cx="1828800" cy="24288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19</xdr:col>
      <xdr:colOff>222250</xdr:colOff>
      <xdr:row>0</xdr:row>
      <xdr:rowOff>266700</xdr:rowOff>
    </xdr:from>
    <xdr:to>
      <xdr:col>23</xdr:col>
      <xdr:colOff>19050</xdr:colOff>
      <xdr:row>6</xdr:row>
      <xdr:rowOff>488760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2">
              <a:extLst>
                <a:ext uri="{FF2B5EF4-FFF2-40B4-BE49-F238E27FC236}">
                  <a16:creationId xmlns:a16="http://schemas.microsoft.com/office/drawing/2014/main" id="{00000000-0008-0000-02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893800" y="266700"/>
              <a:ext cx="1828800" cy="24288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JoDan" refreshedDate="44927.970921874999" createdVersion="7" refreshedVersion="7" minRefreshableVersion="3" recordCount="129" xr:uid="{CC18A279-C8A9-4B74-9D95-B41769B217C6}">
  <cacheSource type="worksheet">
    <worksheetSource name="DONNEES"/>
  </cacheSource>
  <cacheFields count="59">
    <cacheField name="JOUR" numFmtId="166">
      <sharedItems containsSemiMixedTypes="0" containsNonDate="0" containsDate="1" containsString="0" minDate="2021-12-27T00:00:00" maxDate="2022-12-23T00:00:00"/>
    </cacheField>
    <cacheField name="NUM JOUR" numFmtId="1">
      <sharedItems containsSemiMixedTypes="0" containsString="0" containsNumber="1" containsInteger="1" minValue="1" maxValue="7"/>
    </cacheField>
    <cacheField name="NUM SEM AM" numFmtId="1">
      <sharedItems containsSemiMixedTypes="0" containsString="0" containsNumber="1" containsInteger="1" minValue="47" maxValue="52"/>
    </cacheField>
    <cacheField name="AM" numFmtId="165">
      <sharedItems containsSemiMixedTypes="0" containsNonDate="0" containsDate="1" containsString="0" minDate="2021-12-27T00:00:00" maxDate="2022-12-23T00:00:00" count="12">
        <d v="2021-12-27T00:00:00"/>
        <d v="2021-12-28T00:00:00"/>
        <d v="2022-11-26T00:00:00"/>
        <d v="2022-11-27T00:00:00"/>
        <d v="2022-11-28T00:00:00"/>
        <d v="2022-11-29T00:00:00"/>
        <d v="2022-11-30T00:00:00"/>
        <d v="2022-12-01T00:00:00"/>
        <d v="2022-12-02T00:00:00"/>
        <d v="2022-12-03T00:00:00"/>
        <d v="2022-12-20T00:00:00"/>
        <d v="2022-12-22T00:00:00"/>
      </sharedItems>
      <fieldGroup par="53" base="3">
        <rangePr groupBy="days" startDate="2021-12-27T00:00:00" endDate="2022-12-23T00:00:00"/>
        <groupItems count="368">
          <s v="&lt;27/12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3/12/2022"/>
        </groupItems>
      </fieldGroup>
    </cacheField>
    <cacheField name="DEPART" numFmtId="165">
      <sharedItems containsSemiMixedTypes="0" containsNonDate="0" containsDate="1" containsString="0" minDate="2021-12-28T00:00:00" maxDate="2022-12-24T00:00:00" count="12">
        <d v="2021-12-28T00:00:00"/>
        <d v="2021-12-29T00:00:00"/>
        <d v="2022-11-27T00:00:00"/>
        <d v="2022-11-28T00:00:00"/>
        <d v="2022-11-29T00:00:00"/>
        <d v="2022-11-30T00:00:00"/>
        <d v="2022-12-01T00:00:00"/>
        <d v="2022-12-02T00:00:00"/>
        <d v="2022-12-03T00:00:00"/>
        <d v="2022-12-04T00:00:00"/>
        <d v="2022-12-21T00:00:00"/>
        <d v="2022-12-23T00:00:00"/>
      </sharedItems>
      <fieldGroup par="58" base="4">
        <rangePr groupBy="days" startDate="2021-12-28T00:00:00" endDate="2022-12-24T00:00:00"/>
        <groupItems count="368">
          <s v="&lt;28/12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4/12/2022"/>
        </groupItems>
      </fieldGroup>
    </cacheField>
    <cacheField name="DEP_x000a_REC" numFmtId="0">
      <sharedItems containsBlank="1"/>
    </cacheField>
    <cacheField name="#" numFmtId="0">
      <sharedItems containsString="0" containsBlank="1" containsNumber="1" containsInteger="1" minValue="1" maxValue="27"/>
    </cacheField>
    <cacheField name="PERS" numFmtId="0">
      <sharedItems containsString="0" containsBlank="1" containsNumber="1" containsInteger="1" minValue="0" maxValue="3"/>
    </cacheField>
    <cacheField name="NOM" numFmtId="0">
      <sharedItems/>
    </cacheField>
    <cacheField name="RESA" numFmtId="0">
      <sharedItems containsBlank="1"/>
    </cacheField>
    <cacheField name="CH" numFmtId="4">
      <sharedItems containsString="0" containsBlank="1" containsNumber="1" minValue="55.2" maxValue="260"/>
    </cacheField>
    <cacheField name="NB PDJ" numFmtId="3">
      <sharedItems containsString="0" containsBlank="1" containsNumber="1" containsInteger="1" minValue="1" maxValue="3"/>
    </cacheField>
    <cacheField name="PARK" numFmtId="3">
      <sharedItems containsString="0" containsBlank="1" containsNumber="1" containsInteger="1" minValue="1" maxValue="2"/>
    </cacheField>
    <cacheField name="EXTRA" numFmtId="4">
      <sharedItems containsString="0" containsBlank="1" containsNumber="1" containsInteger="1" minValue="3" maxValue="72"/>
    </cacheField>
    <cacheField name="CHAMB." numFmtId="4">
      <sharedItems containsString="0" containsBlank="1" containsNumber="1" minValue="55.2" maxValue="908.10000000000014"/>
    </cacheField>
    <cacheField name="PDJ" numFmtId="4">
      <sharedItems containsString="0" containsBlank="1" containsNumber="1" containsInteger="1" minValue="12" maxValue="72"/>
    </cacheField>
    <cacheField name="BOISS" numFmtId="4">
      <sharedItems containsString="0" containsBlank="1" containsNumber="1" containsInteger="1" minValue="4" maxValue="20"/>
    </cacheField>
    <cacheField name="ALC" numFmtId="4">
      <sharedItems containsString="0" containsBlank="1" containsNumber="1" containsInteger="1" minValue="4" maxValue="60"/>
    </cacheField>
    <cacheField name="RESTO" numFmtId="4">
      <sharedItems containsNonDate="0" containsString="0" containsBlank="1"/>
    </cacheField>
    <cacheField name="PKG" numFmtId="4">
      <sharedItems containsString="0" containsBlank="1" containsNumber="1" containsInteger="1" minValue="13" maxValue="55"/>
    </cacheField>
    <cacheField name="PRESG" numFmtId="4">
      <sharedItems containsNonDate="0" containsString="0" containsBlank="1"/>
    </cacheField>
    <cacheField name="DIV" numFmtId="4">
      <sharedItems containsNonDate="0" containsString="0" containsBlank="1"/>
    </cacheField>
    <cacheField name="TS" numFmtId="4">
      <sharedItems containsString="0" containsBlank="1" containsNumber="1" minValue="0.9" maxValue="4.5"/>
    </cacheField>
    <cacheField name="ACPTE RECU" numFmtId="4">
      <sharedItems containsNonDate="0" containsString="0" containsBlank="1"/>
    </cacheField>
    <cacheField name="ACPTE RENDU" numFmtId="4">
      <sharedItems containsNonDate="0" containsString="0" containsBlank="1"/>
    </cacheField>
    <cacheField name="TOTAL TTC FACTURE" numFmtId="4">
      <sharedItems containsMixedTypes="1" containsNumber="1" minValue="12" maxValue="960.60000000000014"/>
    </cacheField>
    <cacheField name="DATE_x000a_PAIEMT" numFmtId="0">
      <sharedItems containsDate="1" containsMixedTypes="1" minDate="2021-12-27T00:00:00" maxDate="2022-12-24T00:00:00"/>
    </cacheField>
    <cacheField name="CB_x000a_EMV" numFmtId="4">
      <sharedItems containsString="0" containsBlank="1" containsNumber="1" minValue="55" maxValue="1506.5"/>
    </cacheField>
    <cacheField name="AMEX" numFmtId="4">
      <sharedItems containsString="0" containsBlank="1" containsNumber="1" minValue="170.9" maxValue="671.7"/>
    </cacheField>
    <cacheField name="CB_x000a_VAD" numFmtId="4">
      <sharedItems containsString="0" containsBlank="1" containsNumber="1" minValue="-277" maxValue="586.6"/>
    </cacheField>
    <cacheField name="PLBS" numFmtId="4">
      <sharedItems containsString="0" containsBlank="1" containsNumber="1" minValue="108" maxValue="1148.4000000000001"/>
    </cacheField>
    <cacheField name="CB_x000a_SS CTC" numFmtId="4">
      <sharedItems containsString="0" containsBlank="1" containsNumber="1" minValue="5.8" maxValue="293.8"/>
    </cacheField>
    <cacheField name="CHQ VAC." numFmtId="4">
      <sharedItems containsString="0" containsBlank="1" containsNumber="1" containsInteger="1" minValue="150" maxValue="400"/>
    </cacheField>
    <cacheField name="ESPECES" numFmtId="4">
      <sharedItems containsString="0" containsBlank="1" containsNumber="1" minValue="-3.4" maxValue="214.2"/>
    </cacheField>
    <cacheField name="CHQ BANCAIRE" numFmtId="4">
      <sharedItems containsNonDate="0" containsString="0" containsBlank="1"/>
    </cacheField>
    <cacheField name="VIRMT" numFmtId="4">
      <sharedItems containsNonDate="0" containsString="0" containsBlank="1"/>
    </cacheField>
    <cacheField name="TOTAL TTC ENCAISSE" numFmtId="4">
      <sharedItems containsMixedTypes="1" containsNumber="1" minValue="-277" maxValue="1506.5"/>
    </cacheField>
    <cacheField name="DIFFERE_x000a_RECU" numFmtId="4">
      <sharedItems containsNonDate="0" containsString="0" containsBlank="1"/>
    </cacheField>
    <cacheField name="DIFFERE_x000a_ATTENTE" numFmtId="4">
      <sharedItems containsMixedTypes="1" containsNumber="1" minValue="-1091.9000000000001" maxValue="672.30000000000007"/>
    </cacheField>
    <cacheField name="DATE PAIE" numFmtId="14">
      <sharedItems containsSemiMixedTypes="0" containsNonDate="0" containsDate="1" containsString="0" minDate="1899-12-30T00:00:00" maxDate="2022-12-24T00:00:00" count="17">
        <d v="2021-12-28T00:00:00"/>
        <d v="1899-12-30T00:00:00"/>
        <d v="2021-12-27T00:00:00"/>
        <d v="2021-12-29T00:00:00"/>
        <d v="2022-11-26T00:00:00"/>
        <d v="2022-11-27T00:00:00"/>
        <d v="2022-11-28T00:00:00"/>
        <d v="2022-11-29T00:00:00"/>
        <d v="2022-11-30T00:00:00"/>
        <d v="2022-12-01T00:00:00"/>
        <d v="2022-12-02T00:00:00"/>
        <d v="2022-12-03T00:00:00"/>
        <d v="2022-12-04T00:00:00"/>
        <d v="2022-12-21T00:00:00"/>
        <d v="2022-12-20T00:00:00"/>
        <d v="2022-12-22T00:00:00"/>
        <d v="2022-12-23T00:00:00"/>
      </sharedItems>
      <fieldGroup par="56" base="39">
        <rangePr groupBy="days" startDate="1899-12-30T00:00:00" endDate="2022-12-24T00:00:00"/>
        <groupItems count="368">
          <s v="&lt;00/01/190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4/12/2022"/>
        </groupItems>
      </fieldGroup>
    </cacheField>
    <cacheField name="CH HT" numFmtId="0" formula="CHAMB./1.1" databaseField="0"/>
    <cacheField name="BOISSON HT" numFmtId="0" formula="BOISS/1.1" databaseField="0"/>
    <cacheField name="ALC HT" numFmtId="0" formula="ALC/1.2" databaseField="0"/>
    <cacheField name="PARK HT" numFmtId="0" formula="PKG/1.2" databaseField="0"/>
    <cacheField name="RESTO HT" numFmtId="0" formula="RESTO/1.1" databaseField="0"/>
    <cacheField name="PRESSING HT" numFmtId="0" formula="PRESG/1.2" databaseField="0"/>
    <cacheField name="DIV HT" numFmtId="0" formula="DIV/1.2" databaseField="0"/>
    <cacheField name="PDJ HT" numFmtId="0" formula="PDJ/1.1" databaseField="0"/>
    <cacheField name="TOTAL HT" numFmtId="0" formula="'CH HT'+'PDJ HT'+'BOISSON HT'+'ALC HT'+'PARK HT'+'RESTO HT'+'PRESSING HT'+'DIV HT'" databaseField="0"/>
    <cacheField name="TVA10" numFmtId="0" formula="('CH HT'+'PDJ HT'+'BOISSON HT'+'RESTO HT')*10%" databaseField="0"/>
    <cacheField name="TVA20" numFmtId="0" formula="('ALC HT'+'PARK HT'+'PRESSING HT'+'DIV HT')*20%" databaseField="0"/>
    <cacheField name="SOMME ENC TTC" numFmtId="0" formula="'CB_x000a_EMV'+AMEX+'CB_x000a_VAD'+PLBS+'CB_x000a_SS CTC'+'CHQ VAC.'+ESPECES+'CHQ BANCAIRE'+VIRMT" databaseField="0"/>
    <cacheField name="TVA" numFmtId="0" formula="'CH HT'*10%" databaseField="0"/>
    <cacheField name="Mois2" numFmtId="0" databaseField="0">
      <fieldGroup base="3">
        <rangePr groupBy="months" startDate="2021-12-27T00:00:00" endDate="2022-12-23T00:00:00"/>
        <groupItems count="14">
          <s v="&lt;27/12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12/2022"/>
        </groupItems>
      </fieldGroup>
    </cacheField>
    <cacheField name="SOMME ENCAISSEE" numFmtId="0" formula="'CB_x000a_EMV'+AMEX+'CB_x000a_VAD'+PLBS+'CB_x000a_SS CTC'+'CHQ VAC.'+ESPECES+'CHQ BANCAIRE'+VIRMT" databaseField="0"/>
    <cacheField name="Mois3" numFmtId="0" databaseField="0">
      <fieldGroup base="39">
        <rangePr groupBy="months" startDate="1899-12-30T00:00:00" endDate="2022-12-24T00:00:00"/>
        <groupItems count="14">
          <s v="&lt;00/01/190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12/2022"/>
        </groupItems>
      </fieldGroup>
    </cacheField>
    <cacheField name="Années2" numFmtId="0" databaseField="0">
      <fieldGroup base="39">
        <rangePr groupBy="years" startDate="1899-12-30T00:00:00" endDate="2022-12-24T00:00:00"/>
        <groupItems count="125">
          <s v="&lt;00/01/1900"/>
          <s v="1900"/>
          <s v="1901"/>
          <s v="1902"/>
          <s v="1903"/>
          <s v="1904"/>
          <s v="1905"/>
          <s v="1906"/>
          <s v="1907"/>
          <s v="1908"/>
          <s v="1909"/>
          <s v="1910"/>
          <s v="1911"/>
          <s v="1912"/>
          <s v="1913"/>
          <s v="1914"/>
          <s v="1915"/>
          <s v="1916"/>
          <s v="1917"/>
          <s v="1918"/>
          <s v="1919"/>
          <s v="1920"/>
          <s v="1921"/>
          <s v="1922"/>
          <s v="1923"/>
          <s v="1924"/>
          <s v="1925"/>
          <s v="1926"/>
          <s v="1927"/>
          <s v="1928"/>
          <s v="1929"/>
          <s v="1930"/>
          <s v="1931"/>
          <s v="1932"/>
          <s v="1933"/>
          <s v="1934"/>
          <s v="1935"/>
          <s v="1936"/>
          <s v="1937"/>
          <s v="1938"/>
          <s v="1939"/>
          <s v="1940"/>
          <s v="1941"/>
          <s v="1942"/>
          <s v="1943"/>
          <s v="1944"/>
          <s v="1945"/>
          <s v="1946"/>
          <s v="1947"/>
          <s v="1948"/>
          <s v="1949"/>
          <s v="1950"/>
          <s v="1951"/>
          <s v="1952"/>
          <s v="1953"/>
          <s v="1954"/>
          <s v="1955"/>
          <s v="1956"/>
          <s v="1957"/>
          <s v="1958"/>
          <s v="1959"/>
          <s v="1960"/>
          <s v="1961"/>
          <s v="1962"/>
          <s v="1963"/>
          <s v="1964"/>
          <s v="1965"/>
          <s v="1966"/>
          <s v="1967"/>
          <s v="1968"/>
          <s v="1969"/>
          <s v="1970"/>
          <s v="1971"/>
          <s v="1972"/>
          <s v="1973"/>
          <s v="1974"/>
          <s v="1975"/>
          <s v="1976"/>
          <s v="1977"/>
          <s v="1978"/>
          <s v="1979"/>
          <s v="1980"/>
          <s v="1981"/>
          <s v="1982"/>
          <s v="1983"/>
          <s v="1984"/>
          <s v="1985"/>
          <s v="1986"/>
          <s v="1987"/>
          <s v="1988"/>
          <s v="1989"/>
          <s v="1990"/>
          <s v="1991"/>
          <s v="1992"/>
          <s v="1993"/>
          <s v="1994"/>
          <s v="1995"/>
          <s v="1996"/>
          <s v="1997"/>
          <s v="1998"/>
          <s v="1999"/>
          <s v="2000"/>
          <s v="2001"/>
          <s v="2002"/>
          <s v="2003"/>
          <s v="2004"/>
          <s v="2005"/>
          <s v="2006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&gt;24/12/2022"/>
        </groupItems>
      </fieldGroup>
    </cacheField>
    <cacheField name="Mois" numFmtId="0" databaseField="0">
      <fieldGroup base="4">
        <rangePr groupBy="months" startDate="2021-12-28T00:00:00" endDate="2022-12-24T00:00:00"/>
        <groupItems count="14">
          <s v="&lt;28/12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12/2022"/>
        </groupItems>
      </fieldGroup>
    </cacheField>
    <cacheField name="Années" numFmtId="0" databaseField="0">
      <fieldGroup base="4">
        <rangePr groupBy="years" startDate="2021-12-28T00:00:00" endDate="2022-12-24T00:00:00"/>
        <groupItems count="4">
          <s v="&lt;28/12/2021"/>
          <s v="2021"/>
          <s v="2022"/>
          <s v="&gt;24/12/2022"/>
        </groupItems>
      </fieldGroup>
    </cacheField>
  </cacheFields>
  <extLst>
    <ext xmlns:x14="http://schemas.microsoft.com/office/spreadsheetml/2009/9/main" uri="{725AE2AE-9491-48be-B2B4-4EB974FC3084}">
      <x14:pivotCacheDefinition pivotCacheId="73237812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9">
  <r>
    <d v="2021-12-27T00:00:00"/>
    <n v="1"/>
    <n v="51"/>
    <x v="0"/>
    <x v="0"/>
    <s v="D"/>
    <n v="24"/>
    <n v="2"/>
    <s v="GOILLANDEAU"/>
    <s v="LCC"/>
    <n v="130"/>
    <n v="2"/>
    <n v="1"/>
    <m/>
    <n v="130.9"/>
    <n v="24"/>
    <m/>
    <m/>
    <m/>
    <m/>
    <m/>
    <m/>
    <n v="0.9"/>
    <m/>
    <m/>
    <n v="155.80000000000001"/>
    <d v="2021-12-28T00:00:00"/>
    <m/>
    <m/>
    <m/>
    <m/>
    <n v="5.8"/>
    <n v="150"/>
    <m/>
    <m/>
    <m/>
    <n v="155.80000000000001"/>
    <m/>
    <s v=""/>
    <x v="0"/>
  </r>
  <r>
    <d v="2021-12-27T00:00:00"/>
    <n v="1"/>
    <n v="51"/>
    <x v="0"/>
    <x v="0"/>
    <s v="R"/>
    <n v="5"/>
    <n v="2"/>
    <s v="LEROUX"/>
    <s v="BK"/>
    <n v="182.7"/>
    <n v="2"/>
    <m/>
    <n v="7"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1-12-27T00:00:00"/>
    <n v="1"/>
    <n v="51"/>
    <x v="0"/>
    <x v="0"/>
    <s v="R"/>
    <n v="12"/>
    <n v="2"/>
    <s v="ABBANE"/>
    <s v="BK"/>
    <n v="142.19999999999999"/>
    <m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1-12-27T00:00:00"/>
    <n v="1"/>
    <n v="51"/>
    <x v="0"/>
    <x v="0"/>
    <s v="R"/>
    <n v="20"/>
    <n v="2"/>
    <s v="PAUTHENIER"/>
    <s v="LCC"/>
    <n v="213"/>
    <n v="2"/>
    <n v="1"/>
    <n v="8"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1-12-27T00:00:00"/>
    <n v="1"/>
    <n v="51"/>
    <x v="0"/>
    <x v="0"/>
    <s v="R"/>
    <n v="21"/>
    <n v="1"/>
    <s v="CUBILLE"/>
    <s v="LCC"/>
    <n v="213"/>
    <n v="1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1-12-27T00:00:00"/>
    <n v="1"/>
    <n v="51"/>
    <x v="0"/>
    <x v="0"/>
    <s v="R"/>
    <n v="22"/>
    <n v="2"/>
    <s v="PETIT"/>
    <s v="LCC"/>
    <n v="213"/>
    <n v="2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1-12-27T00:00:00"/>
    <n v="1"/>
    <n v="51"/>
    <x v="0"/>
    <x v="0"/>
    <s v="R"/>
    <n v="25"/>
    <n v="2"/>
    <s v="BACHIMONT"/>
    <s v="LCC"/>
    <n v="160"/>
    <n v="2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1-12-27T00:00:00"/>
    <n v="1"/>
    <n v="51"/>
    <x v="0"/>
    <x v="0"/>
    <s v="R"/>
    <n v="6"/>
    <n v="2"/>
    <s v="BAGNOL"/>
    <s v="LCC"/>
    <n v="205"/>
    <n v="2"/>
    <n v="1"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1-12-27T00:00:00"/>
    <n v="1"/>
    <n v="51"/>
    <x v="0"/>
    <x v="0"/>
    <s v="R"/>
    <n v="16"/>
    <n v="2"/>
    <s v="TEULADE"/>
    <s v="BK"/>
    <n v="193.5"/>
    <n v="2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1-12-28T00:00:00"/>
    <n v="2"/>
    <n v="52"/>
    <x v="1"/>
    <x v="1"/>
    <s v="D"/>
    <n v="15"/>
    <m/>
    <s v="LAMSIRAROJ"/>
    <s v="BK"/>
    <n v="234"/>
    <m/>
    <m/>
    <m/>
    <n v="234"/>
    <m/>
    <m/>
    <m/>
    <m/>
    <m/>
    <m/>
    <m/>
    <m/>
    <m/>
    <m/>
    <n v="234"/>
    <d v="2021-12-27T00:00:00"/>
    <m/>
    <m/>
    <m/>
    <n v="234"/>
    <m/>
    <m/>
    <m/>
    <m/>
    <m/>
    <n v="234"/>
    <m/>
    <s v=""/>
    <x v="2"/>
  </r>
  <r>
    <d v="2021-12-28T00:00:00"/>
    <n v="2"/>
    <n v="52"/>
    <x v="1"/>
    <x v="1"/>
    <s v="D"/>
    <n v="24"/>
    <n v="2"/>
    <s v="RODGER"/>
    <s v="BK"/>
    <n v="147.6"/>
    <n v="2"/>
    <m/>
    <m/>
    <n v="148.5"/>
    <n v="24"/>
    <m/>
    <m/>
    <m/>
    <m/>
    <m/>
    <m/>
    <n v="0.9"/>
    <m/>
    <m/>
    <n v="173.4"/>
    <d v="2021-12-29T00:00:00"/>
    <n v="173.4"/>
    <m/>
    <m/>
    <m/>
    <m/>
    <m/>
    <m/>
    <m/>
    <m/>
    <n v="173.4"/>
    <m/>
    <s v=""/>
    <x v="3"/>
  </r>
  <r>
    <d v="2021-12-28T00:00:00"/>
    <n v="2"/>
    <n v="52"/>
    <x v="1"/>
    <x v="1"/>
    <s v="D"/>
    <n v="12"/>
    <n v="2"/>
    <s v="ABBANE"/>
    <s v="BK"/>
    <n v="147.6"/>
    <m/>
    <m/>
    <m/>
    <n v="291.59999999999997"/>
    <m/>
    <m/>
    <m/>
    <m/>
    <m/>
    <m/>
    <m/>
    <n v="1.8"/>
    <m/>
    <m/>
    <n v="293.39999999999998"/>
    <d v="2021-12-29T00:00:00"/>
    <n v="293.39999999999998"/>
    <m/>
    <m/>
    <m/>
    <m/>
    <m/>
    <m/>
    <m/>
    <m/>
    <n v="293.39999999999998"/>
    <m/>
    <s v=""/>
    <x v="3"/>
  </r>
  <r>
    <d v="2021-12-28T00:00:00"/>
    <n v="2"/>
    <n v="52"/>
    <x v="1"/>
    <x v="1"/>
    <s v="D"/>
    <n v="25"/>
    <n v="2"/>
    <s v="BACHIMONT"/>
    <s v="LCC"/>
    <n v="185"/>
    <n v="2"/>
    <m/>
    <m/>
    <n v="346.8"/>
    <n v="48"/>
    <m/>
    <m/>
    <m/>
    <m/>
    <m/>
    <m/>
    <n v="1.8"/>
    <m/>
    <m/>
    <n v="396.6"/>
    <d v="2021-12-29T00:00:00"/>
    <m/>
    <m/>
    <m/>
    <m/>
    <m/>
    <n v="400"/>
    <n v="-3.4"/>
    <m/>
    <m/>
    <n v="396.6"/>
    <m/>
    <s v=""/>
    <x v="3"/>
  </r>
  <r>
    <d v="2021-12-28T00:00:00"/>
    <n v="2"/>
    <n v="52"/>
    <x v="1"/>
    <x v="1"/>
    <s v="D"/>
    <n v="14"/>
    <n v="2"/>
    <s v="HENNEQUIN"/>
    <s v="LCC"/>
    <n v="170"/>
    <m/>
    <m/>
    <m/>
    <n v="170.9"/>
    <m/>
    <m/>
    <m/>
    <m/>
    <m/>
    <m/>
    <m/>
    <n v="0.9"/>
    <m/>
    <m/>
    <n v="171.8"/>
    <d v="2021-12-29T00:00:00"/>
    <m/>
    <n v="171.8"/>
    <m/>
    <m/>
    <m/>
    <m/>
    <m/>
    <m/>
    <m/>
    <n v="171.8"/>
    <m/>
    <s v=""/>
    <x v="3"/>
  </r>
  <r>
    <d v="2021-12-28T00:00:00"/>
    <n v="2"/>
    <n v="52"/>
    <x v="1"/>
    <x v="1"/>
    <s v="D"/>
    <n v="15"/>
    <n v="3"/>
    <s v="SPANJARD"/>
    <s v="BK"/>
    <n v="259.2"/>
    <m/>
    <n v="1"/>
    <m/>
    <n v="261"/>
    <m/>
    <m/>
    <m/>
    <m/>
    <n v="13"/>
    <m/>
    <m/>
    <n v="0.9"/>
    <m/>
    <m/>
    <n v="274.89999999999998"/>
    <d v="2021-12-29T00:00:00"/>
    <n v="274.89999999999998"/>
    <m/>
    <m/>
    <m/>
    <m/>
    <m/>
    <m/>
    <m/>
    <m/>
    <n v="274.89999999999998"/>
    <m/>
    <s v=""/>
    <x v="3"/>
  </r>
  <r>
    <d v="2021-12-28T00:00:00"/>
    <n v="2"/>
    <n v="52"/>
    <x v="1"/>
    <x v="1"/>
    <s v="D"/>
    <n v="16"/>
    <n v="2"/>
    <s v="TEULADE"/>
    <s v="BK"/>
    <n v="208.8"/>
    <n v="2"/>
    <m/>
    <n v="72"/>
    <n v="430.1"/>
    <n v="48"/>
    <n v="12"/>
    <n v="60"/>
    <m/>
    <m/>
    <m/>
    <m/>
    <n v="1.8"/>
    <m/>
    <m/>
    <n v="551.9"/>
    <d v="2021-12-29T00:00:00"/>
    <m/>
    <n v="551.9"/>
    <m/>
    <m/>
    <m/>
    <m/>
    <m/>
    <m/>
    <m/>
    <n v="551.9"/>
    <m/>
    <s v=""/>
    <x v="3"/>
  </r>
  <r>
    <d v="2021-12-28T00:00:00"/>
    <n v="2"/>
    <n v="52"/>
    <x v="1"/>
    <x v="1"/>
    <s v="R"/>
    <n v="27"/>
    <n v="2"/>
    <s v="SIO"/>
    <s v="LCC"/>
    <n v="145"/>
    <m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1-12-28T00:00:00"/>
    <n v="2"/>
    <n v="52"/>
    <x v="1"/>
    <x v="1"/>
    <s v="R"/>
    <n v="5"/>
    <n v="2"/>
    <s v="LEROUX"/>
    <s v="BK"/>
    <n v="188.1"/>
    <n v="2"/>
    <m/>
    <n v="16"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1-12-28T00:00:00"/>
    <n v="2"/>
    <n v="52"/>
    <x v="1"/>
    <x v="1"/>
    <s v="R"/>
    <n v="20"/>
    <n v="2"/>
    <s v="PAUTHENIER"/>
    <s v="LCC"/>
    <n v="213"/>
    <n v="2"/>
    <n v="1"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1-12-28T00:00:00"/>
    <n v="2"/>
    <n v="52"/>
    <x v="1"/>
    <x v="1"/>
    <s v="R"/>
    <n v="21"/>
    <n v="1"/>
    <s v="CUBILLE"/>
    <s v="LCC"/>
    <n v="213"/>
    <n v="1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1-12-28T00:00:00"/>
    <n v="2"/>
    <n v="52"/>
    <x v="1"/>
    <x v="1"/>
    <s v="R"/>
    <n v="22"/>
    <n v="2"/>
    <s v="PETIT"/>
    <s v="LCC"/>
    <n v="213"/>
    <n v="2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1-12-28T00:00:00"/>
    <n v="2"/>
    <n v="52"/>
    <x v="1"/>
    <x v="1"/>
    <s v="R"/>
    <n v="6"/>
    <n v="2"/>
    <s v="BAGNOL"/>
    <s v="LCC"/>
    <n v="220"/>
    <n v="2"/>
    <n v="1"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1-26T00:00:00"/>
    <n v="6"/>
    <n v="47"/>
    <x v="2"/>
    <x v="2"/>
    <s v="D"/>
    <n v="27"/>
    <n v="2"/>
    <s v="WRIGHT"/>
    <s v="BK"/>
    <n v="132.30000000000001"/>
    <n v="2"/>
    <m/>
    <m/>
    <n v="133.5"/>
    <n v="24"/>
    <m/>
    <m/>
    <m/>
    <m/>
    <m/>
    <m/>
    <n v="0.9"/>
    <m/>
    <m/>
    <n v="158.4"/>
    <d v="2022-11-26T00:00:00"/>
    <n v="158.4"/>
    <m/>
    <m/>
    <m/>
    <m/>
    <m/>
    <m/>
    <m/>
    <m/>
    <n v="158.4"/>
    <m/>
    <s v=""/>
    <x v="4"/>
  </r>
  <r>
    <d v="2022-11-26T00:00:00"/>
    <n v="6"/>
    <n v="47"/>
    <x v="2"/>
    <x v="2"/>
    <s v="D"/>
    <n v="6"/>
    <n v="3"/>
    <s v="ORAYEN"/>
    <s v="BK"/>
    <n v="260"/>
    <m/>
    <m/>
    <m/>
    <n v="261.8"/>
    <m/>
    <m/>
    <m/>
    <m/>
    <m/>
    <m/>
    <m/>
    <n v="0.9"/>
    <m/>
    <m/>
    <n v="262.7"/>
    <d v="2022-11-26T00:00:00"/>
    <n v="262.7"/>
    <m/>
    <m/>
    <m/>
    <m/>
    <m/>
    <m/>
    <m/>
    <m/>
    <n v="262.7"/>
    <m/>
    <s v=""/>
    <x v="4"/>
  </r>
  <r>
    <d v="2022-11-26T00:00:00"/>
    <n v="6"/>
    <n v="47"/>
    <x v="2"/>
    <x v="2"/>
    <s v="D"/>
    <n v="14"/>
    <n v="2"/>
    <s v="BURET"/>
    <s v="LCC"/>
    <n v="219"/>
    <n v="2"/>
    <m/>
    <m/>
    <n v="219.9"/>
    <n v="24"/>
    <m/>
    <m/>
    <m/>
    <m/>
    <m/>
    <m/>
    <n v="0.9"/>
    <m/>
    <m/>
    <n v="244.8"/>
    <d v="2022-11-26T00:00:00"/>
    <n v="244.8"/>
    <m/>
    <m/>
    <m/>
    <m/>
    <m/>
    <m/>
    <m/>
    <m/>
    <n v="244.8"/>
    <m/>
    <s v=""/>
    <x v="4"/>
  </r>
  <r>
    <d v="2022-11-26T00:00:00"/>
    <n v="6"/>
    <n v="47"/>
    <x v="2"/>
    <x v="2"/>
    <s v="D"/>
    <n v="5"/>
    <n v="2"/>
    <s v="BONJA"/>
    <s v="BK"/>
    <n v="172.8"/>
    <n v="2"/>
    <m/>
    <m/>
    <n v="173.7"/>
    <n v="24"/>
    <m/>
    <m/>
    <m/>
    <m/>
    <m/>
    <m/>
    <n v="0.9"/>
    <m/>
    <m/>
    <n v="198.6"/>
    <d v="2022-11-27T00:00:00"/>
    <n v="198.6"/>
    <m/>
    <m/>
    <m/>
    <m/>
    <m/>
    <m/>
    <m/>
    <m/>
    <n v="198.6"/>
    <m/>
    <s v=""/>
    <x v="5"/>
  </r>
  <r>
    <d v="2022-11-26T00:00:00"/>
    <n v="6"/>
    <n v="47"/>
    <x v="2"/>
    <x v="2"/>
    <s v="D"/>
    <n v="12"/>
    <n v="2"/>
    <s v="BESLIN"/>
    <s v="LCC"/>
    <n v="145"/>
    <m/>
    <m/>
    <n v="8"/>
    <n v="291.8"/>
    <m/>
    <n v="8"/>
    <m/>
    <m/>
    <m/>
    <m/>
    <m/>
    <n v="1.8"/>
    <m/>
    <m/>
    <n v="301.60000000000002"/>
    <d v="2022-11-27T00:00:00"/>
    <n v="301.60000000000002"/>
    <m/>
    <m/>
    <m/>
    <m/>
    <m/>
    <m/>
    <m/>
    <m/>
    <n v="301.60000000000002"/>
    <m/>
    <s v=""/>
    <x v="5"/>
  </r>
  <r>
    <d v="2022-11-26T00:00:00"/>
    <n v="6"/>
    <n v="47"/>
    <x v="2"/>
    <x v="2"/>
    <s v="D"/>
    <n v="20"/>
    <n v="2"/>
    <s v="PFEIFFER"/>
    <s v="BK"/>
    <n v="147.6"/>
    <m/>
    <m/>
    <m/>
    <n v="297"/>
    <n v="24"/>
    <m/>
    <m/>
    <m/>
    <m/>
    <m/>
    <m/>
    <n v="1.8"/>
    <m/>
    <m/>
    <n v="322.8"/>
    <d v="2022-11-27T00:00:00"/>
    <n v="322.8"/>
    <m/>
    <m/>
    <m/>
    <m/>
    <m/>
    <m/>
    <m/>
    <m/>
    <n v="322.8"/>
    <m/>
    <s v=""/>
    <x v="5"/>
  </r>
  <r>
    <d v="2022-11-26T00:00:00"/>
    <n v="6"/>
    <n v="47"/>
    <x v="2"/>
    <x v="2"/>
    <s v="D"/>
    <n v="21"/>
    <n v="1"/>
    <s v="MAUNIER"/>
    <s v="LCC"/>
    <n v="155"/>
    <m/>
    <m/>
    <m/>
    <n v="310"/>
    <m/>
    <m/>
    <m/>
    <m/>
    <m/>
    <m/>
    <m/>
    <n v="1.8"/>
    <m/>
    <m/>
    <n v="311.8"/>
    <d v="2022-11-27T00:00:00"/>
    <n v="311.8"/>
    <m/>
    <m/>
    <m/>
    <m/>
    <m/>
    <m/>
    <m/>
    <m/>
    <n v="311.8"/>
    <m/>
    <s v=""/>
    <x v="5"/>
  </r>
  <r>
    <d v="2022-11-26T00:00:00"/>
    <n v="6"/>
    <n v="47"/>
    <x v="2"/>
    <x v="2"/>
    <s v="D"/>
    <n v="22"/>
    <n v="1"/>
    <s v="DESLANDES"/>
    <s v="BK"/>
    <n v="153"/>
    <m/>
    <m/>
    <m/>
    <n v="306"/>
    <m/>
    <n v="4"/>
    <m/>
    <m/>
    <m/>
    <m/>
    <m/>
    <n v="1.8"/>
    <m/>
    <m/>
    <n v="311.8"/>
    <d v="2022-11-27T00:00:00"/>
    <n v="311.8"/>
    <m/>
    <m/>
    <m/>
    <m/>
    <m/>
    <m/>
    <m/>
    <m/>
    <n v="311.8"/>
    <m/>
    <s v=""/>
    <x v="5"/>
  </r>
  <r>
    <d v="2022-11-26T00:00:00"/>
    <n v="6"/>
    <n v="47"/>
    <x v="2"/>
    <x v="2"/>
    <s v="D"/>
    <n v="25"/>
    <n v="2"/>
    <s v="JOURDAA"/>
    <s v="BK"/>
    <n v="172.8"/>
    <n v="2"/>
    <n v="1"/>
    <m/>
    <n v="173.7"/>
    <n v="24"/>
    <m/>
    <m/>
    <m/>
    <n v="15"/>
    <m/>
    <m/>
    <n v="0.9"/>
    <m/>
    <m/>
    <n v="213.6"/>
    <d v="2022-11-27T00:00:00"/>
    <n v="213.6"/>
    <m/>
    <m/>
    <m/>
    <m/>
    <m/>
    <m/>
    <m/>
    <m/>
    <n v="213.6"/>
    <m/>
    <s v=""/>
    <x v="5"/>
  </r>
  <r>
    <d v="2022-11-26T00:00:00"/>
    <n v="6"/>
    <n v="47"/>
    <x v="2"/>
    <x v="2"/>
    <s v="D"/>
    <n v="15"/>
    <n v="3"/>
    <s v="ALONSO-LAMBERTI"/>
    <s v="BK"/>
    <n v="208.8"/>
    <m/>
    <m/>
    <m/>
    <n v="421.20000000000005"/>
    <n v="36"/>
    <m/>
    <m/>
    <m/>
    <m/>
    <m/>
    <m/>
    <n v="1.8"/>
    <m/>
    <m/>
    <n v="459.00000000000006"/>
    <d v="2022-11-27T00:00:00"/>
    <n v="459"/>
    <m/>
    <m/>
    <m/>
    <m/>
    <m/>
    <m/>
    <m/>
    <m/>
    <n v="459"/>
    <m/>
    <s v=""/>
    <x v="5"/>
  </r>
  <r>
    <d v="2022-11-26T00:00:00"/>
    <n v="6"/>
    <n v="47"/>
    <x v="2"/>
    <x v="2"/>
    <s v="R"/>
    <n v="1"/>
    <n v="2"/>
    <s v="MAGAT"/>
    <s v="LCC"/>
    <n v="150"/>
    <n v="1"/>
    <n v="1"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1-26T00:00:00"/>
    <n v="6"/>
    <n v="47"/>
    <x v="2"/>
    <x v="2"/>
    <s v="R"/>
    <n v="26"/>
    <n v="2"/>
    <s v="FENAL"/>
    <s v="BK"/>
    <n v="162.9"/>
    <m/>
    <n v="1"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1-26T00:00:00"/>
    <n v="6"/>
    <n v="47"/>
    <x v="2"/>
    <x v="2"/>
    <s v="R"/>
    <n v="16"/>
    <n v="2"/>
    <s v="BELLELI"/>
    <s v="BK"/>
    <n v="208.8"/>
    <m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1-27T00:00:00"/>
    <n v="7"/>
    <n v="47"/>
    <x v="3"/>
    <x v="3"/>
    <s v="D"/>
    <n v="26"/>
    <n v="2"/>
    <s v="FENAL"/>
    <s v="BK"/>
    <n v="162.9"/>
    <m/>
    <n v="1"/>
    <m/>
    <n v="619.20000000000005"/>
    <m/>
    <m/>
    <m/>
    <m/>
    <n v="30"/>
    <m/>
    <m/>
    <n v="3.6"/>
    <m/>
    <m/>
    <n v="652.80000000000007"/>
    <d v="2022-11-27T00:00:00"/>
    <n v="652.79999999999995"/>
    <m/>
    <m/>
    <m/>
    <m/>
    <m/>
    <m/>
    <m/>
    <m/>
    <n v="652.79999999999995"/>
    <m/>
    <s v=""/>
    <x v="5"/>
  </r>
  <r>
    <d v="2022-11-27T00:00:00"/>
    <n v="7"/>
    <n v="47"/>
    <x v="3"/>
    <x v="3"/>
    <s v="D"/>
    <n v="14"/>
    <n v="2"/>
    <s v="MEJIAS"/>
    <s v="BK"/>
    <n v="91.8"/>
    <m/>
    <m/>
    <m/>
    <n v="92.7"/>
    <m/>
    <m/>
    <m/>
    <m/>
    <m/>
    <m/>
    <m/>
    <n v="0.9"/>
    <m/>
    <m/>
    <n v="93.600000000000009"/>
    <d v="2022-11-27T00:00:00"/>
    <m/>
    <m/>
    <m/>
    <m/>
    <m/>
    <m/>
    <n v="93.6"/>
    <m/>
    <m/>
    <n v="93.6"/>
    <m/>
    <s v=""/>
    <x v="5"/>
  </r>
  <r>
    <d v="2022-11-27T00:00:00"/>
    <n v="7"/>
    <n v="47"/>
    <x v="3"/>
    <x v="3"/>
    <s v="D"/>
    <n v="1"/>
    <n v="2"/>
    <s v="MAGAT"/>
    <s v="LCC"/>
    <n v="150"/>
    <n v="1"/>
    <n v="1"/>
    <m/>
    <m/>
    <m/>
    <m/>
    <m/>
    <m/>
    <n v="55"/>
    <m/>
    <m/>
    <m/>
    <m/>
    <m/>
    <n v="55"/>
    <d v="2022-11-28T00:00:00"/>
    <n v="55"/>
    <m/>
    <m/>
    <m/>
    <m/>
    <m/>
    <m/>
    <m/>
    <m/>
    <n v="55"/>
    <m/>
    <s v=""/>
    <x v="6"/>
  </r>
  <r>
    <d v="2022-11-27T00:00:00"/>
    <n v="7"/>
    <n v="47"/>
    <x v="3"/>
    <x v="3"/>
    <s v="D"/>
    <n v="21"/>
    <n v="2"/>
    <s v="DEBRETAGNE"/>
    <s v="BK"/>
    <n v="91.8"/>
    <n v="2"/>
    <m/>
    <m/>
    <n v="92.7"/>
    <n v="24"/>
    <m/>
    <m/>
    <m/>
    <m/>
    <m/>
    <m/>
    <n v="0.9"/>
    <m/>
    <m/>
    <n v="117.60000000000001"/>
    <d v="2022-11-28T00:00:00"/>
    <n v="117.6"/>
    <m/>
    <m/>
    <m/>
    <m/>
    <m/>
    <m/>
    <m/>
    <m/>
    <n v="117.6"/>
    <m/>
    <s v=""/>
    <x v="6"/>
  </r>
  <r>
    <d v="2022-11-27T00:00:00"/>
    <n v="7"/>
    <n v="47"/>
    <x v="3"/>
    <x v="3"/>
    <s v="D"/>
    <n v="16"/>
    <n v="2"/>
    <s v="BELLELI"/>
    <s v="BK"/>
    <n v="167.4"/>
    <m/>
    <m/>
    <n v="4"/>
    <n v="377.8"/>
    <m/>
    <m/>
    <n v="4"/>
    <m/>
    <m/>
    <m/>
    <m/>
    <n v="1.8"/>
    <m/>
    <m/>
    <n v="383.6"/>
    <d v="2022-11-28T00:00:00"/>
    <n v="383.6"/>
    <m/>
    <m/>
    <m/>
    <m/>
    <m/>
    <m/>
    <m/>
    <m/>
    <n v="383.6"/>
    <m/>
    <s v=""/>
    <x v="6"/>
  </r>
  <r>
    <d v="2022-11-27T00:00:00"/>
    <n v="7"/>
    <n v="47"/>
    <x v="3"/>
    <x v="3"/>
    <s v="R"/>
    <n v="12"/>
    <n v="2"/>
    <s v="FORTUNATO"/>
    <s v="BK"/>
    <n v="117"/>
    <n v="2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1-27T00:00:00"/>
    <n v="7"/>
    <n v="47"/>
    <x v="3"/>
    <x v="3"/>
    <s v="R"/>
    <n v="20"/>
    <n v="1"/>
    <s v="MASELLA"/>
    <s v="LCC"/>
    <n v="117"/>
    <m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1-28T00:00:00"/>
    <n v="1"/>
    <n v="47"/>
    <x v="4"/>
    <x v="4"/>
    <s v="D"/>
    <n v="16"/>
    <n v="1"/>
    <s v="LACOSTE"/>
    <s v="LCC"/>
    <n v="140"/>
    <m/>
    <n v="1"/>
    <m/>
    <n v="140"/>
    <m/>
    <m/>
    <m/>
    <m/>
    <n v="15"/>
    <m/>
    <m/>
    <n v="0.9"/>
    <m/>
    <m/>
    <n v="155.9"/>
    <d v="2022-11-28T00:00:00"/>
    <n v="155.9"/>
    <m/>
    <m/>
    <m/>
    <m/>
    <m/>
    <m/>
    <m/>
    <m/>
    <n v="155.9"/>
    <m/>
    <s v=""/>
    <x v="6"/>
  </r>
  <r>
    <d v="2022-11-28T00:00:00"/>
    <n v="1"/>
    <n v="47"/>
    <x v="4"/>
    <x v="4"/>
    <m/>
    <m/>
    <m/>
    <s v="FORT"/>
    <m/>
    <m/>
    <m/>
    <m/>
    <m/>
    <m/>
    <m/>
    <m/>
    <m/>
    <m/>
    <m/>
    <m/>
    <m/>
    <m/>
    <m/>
    <m/>
    <s v=""/>
    <d v="2022-11-28T00:00:00"/>
    <m/>
    <m/>
    <n v="-277"/>
    <m/>
    <m/>
    <m/>
    <m/>
    <m/>
    <m/>
    <n v="-277"/>
    <m/>
    <n v="277"/>
    <x v="6"/>
  </r>
  <r>
    <d v="2022-11-28T00:00:00"/>
    <n v="1"/>
    <n v="47"/>
    <x v="4"/>
    <x v="4"/>
    <s v="D"/>
    <n v="12"/>
    <n v="2"/>
    <s v="FORTUNATO"/>
    <s v="BK"/>
    <n v="142.19999999999999"/>
    <n v="2"/>
    <m/>
    <m/>
    <n v="261"/>
    <n v="48"/>
    <m/>
    <m/>
    <m/>
    <m/>
    <m/>
    <m/>
    <n v="1.8"/>
    <m/>
    <m/>
    <n v="310.8"/>
    <d v="2022-11-29T00:00:00"/>
    <n v="310.8"/>
    <m/>
    <m/>
    <m/>
    <m/>
    <m/>
    <m/>
    <m/>
    <m/>
    <n v="310.8"/>
    <m/>
    <s v=""/>
    <x v="7"/>
  </r>
  <r>
    <d v="2022-11-28T00:00:00"/>
    <n v="1"/>
    <n v="47"/>
    <x v="4"/>
    <x v="4"/>
    <s v="D"/>
    <n v="20"/>
    <n v="1"/>
    <s v="MASELLA"/>
    <s v="LCC"/>
    <n v="175"/>
    <m/>
    <m/>
    <m/>
    <n v="292"/>
    <m/>
    <m/>
    <m/>
    <m/>
    <m/>
    <m/>
    <m/>
    <n v="1.8"/>
    <m/>
    <m/>
    <n v="293.8"/>
    <d v="2022-11-29T00:00:00"/>
    <m/>
    <m/>
    <m/>
    <m/>
    <n v="293.8"/>
    <m/>
    <m/>
    <m/>
    <m/>
    <n v="293.8"/>
    <m/>
    <s v=""/>
    <x v="7"/>
  </r>
  <r>
    <d v="2022-11-28T00:00:00"/>
    <n v="1"/>
    <n v="47"/>
    <x v="4"/>
    <x v="4"/>
    <s v="D"/>
    <n v="21"/>
    <n v="1"/>
    <s v="MEUNIER"/>
    <s v="BK"/>
    <n v="178.2"/>
    <m/>
    <m/>
    <m/>
    <n v="178.2"/>
    <m/>
    <m/>
    <m/>
    <m/>
    <m/>
    <m/>
    <m/>
    <n v="0.9"/>
    <m/>
    <m/>
    <n v="179.1"/>
    <d v="2022-11-29T00:00:00"/>
    <n v="179.1"/>
    <m/>
    <m/>
    <m/>
    <m/>
    <m/>
    <m/>
    <m/>
    <m/>
    <n v="179.1"/>
    <m/>
    <s v=""/>
    <x v="7"/>
  </r>
  <r>
    <d v="2022-11-28T00:00:00"/>
    <n v="1"/>
    <n v="47"/>
    <x v="4"/>
    <x v="4"/>
    <s v="D"/>
    <n v="14"/>
    <n v="1"/>
    <s v="GUO"/>
    <s v="BK"/>
    <n v="188.1"/>
    <n v="1"/>
    <m/>
    <m/>
    <n v="188.1"/>
    <n v="12"/>
    <m/>
    <m/>
    <m/>
    <m/>
    <m/>
    <m/>
    <n v="0.9"/>
    <m/>
    <m/>
    <n v="201"/>
    <d v="2022-11-29T00:00:00"/>
    <n v="201"/>
    <m/>
    <m/>
    <m/>
    <m/>
    <m/>
    <m/>
    <m/>
    <m/>
    <n v="201"/>
    <m/>
    <s v=""/>
    <x v="7"/>
  </r>
  <r>
    <d v="2022-11-28T00:00:00"/>
    <n v="1"/>
    <n v="47"/>
    <x v="4"/>
    <x v="4"/>
    <s v="R"/>
    <n v="1"/>
    <n v="1"/>
    <s v="ROCQUE"/>
    <s v="LCC"/>
    <n v="135"/>
    <n v="1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1-28T00:00:00"/>
    <n v="1"/>
    <n v="47"/>
    <x v="4"/>
    <x v="4"/>
    <s v="R"/>
    <n v="26"/>
    <n v="1"/>
    <s v="BONNAL"/>
    <s v="LCC"/>
    <n v="150"/>
    <n v="1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1-28T00:00:00"/>
    <n v="1"/>
    <n v="47"/>
    <x v="4"/>
    <x v="4"/>
    <s v="R"/>
    <n v="22"/>
    <n v="1"/>
    <s v="FIDANZA"/>
    <s v="LCC"/>
    <n v="185"/>
    <n v="1"/>
    <m/>
    <n v="8"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1-28T00:00:00"/>
    <n v="1"/>
    <n v="47"/>
    <x v="4"/>
    <x v="4"/>
    <s v="R"/>
    <n v="25"/>
    <n v="2"/>
    <s v="IRIART"/>
    <s v="BK"/>
    <n v="188.1"/>
    <n v="2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1-29T00:00:00"/>
    <n v="2"/>
    <n v="48"/>
    <x v="5"/>
    <x v="5"/>
    <s v="D"/>
    <n v="21"/>
    <n v="1"/>
    <s v="LEGRIS"/>
    <s v="BK"/>
    <n v="198"/>
    <n v="1"/>
    <m/>
    <m/>
    <n v="210"/>
    <m/>
    <m/>
    <m/>
    <m/>
    <m/>
    <m/>
    <m/>
    <n v="0.9"/>
    <m/>
    <m/>
    <n v="210.9"/>
    <d v="2022-11-29T00:00:00"/>
    <n v="210.9"/>
    <m/>
    <m/>
    <m/>
    <m/>
    <m/>
    <m/>
    <m/>
    <m/>
    <n v="210.9"/>
    <m/>
    <s v=""/>
    <x v="7"/>
  </r>
  <r>
    <d v="2022-11-29T00:00:00"/>
    <n v="2"/>
    <n v="48"/>
    <x v="5"/>
    <x v="5"/>
    <s v="D"/>
    <n v="24"/>
    <n v="1"/>
    <s v="DUNOGUIES"/>
    <s v="BK"/>
    <n v="213.3"/>
    <m/>
    <m/>
    <m/>
    <n v="213.3"/>
    <m/>
    <m/>
    <m/>
    <m/>
    <m/>
    <m/>
    <m/>
    <n v="0.9"/>
    <m/>
    <m/>
    <n v="214.20000000000002"/>
    <d v="2022-11-29T00:00:00"/>
    <m/>
    <m/>
    <m/>
    <m/>
    <m/>
    <m/>
    <n v="214.2"/>
    <m/>
    <m/>
    <n v="214.2"/>
    <m/>
    <s v=""/>
    <x v="7"/>
  </r>
  <r>
    <d v="2022-11-29T00:00:00"/>
    <n v="2"/>
    <n v="48"/>
    <x v="5"/>
    <x v="5"/>
    <s v="D"/>
    <n v="1"/>
    <n v="1"/>
    <s v="ROCQUE"/>
    <s v="LCC"/>
    <n v="135"/>
    <n v="1"/>
    <m/>
    <m/>
    <n v="270"/>
    <n v="24"/>
    <m/>
    <m/>
    <m/>
    <m/>
    <m/>
    <m/>
    <n v="1.8"/>
    <m/>
    <m/>
    <n v="295.8"/>
    <d v="2022-11-30T00:00:00"/>
    <n v="295.8"/>
    <m/>
    <m/>
    <m/>
    <m/>
    <m/>
    <m/>
    <m/>
    <m/>
    <n v="295.8"/>
    <m/>
    <s v=""/>
    <x v="8"/>
  </r>
  <r>
    <d v="2022-11-29T00:00:00"/>
    <n v="2"/>
    <n v="48"/>
    <x v="5"/>
    <x v="5"/>
    <s v="D"/>
    <n v="26"/>
    <n v="1"/>
    <s v="BONNAL"/>
    <s v="LCC"/>
    <n v="165"/>
    <n v="1"/>
    <m/>
    <m/>
    <n v="315"/>
    <n v="24"/>
    <m/>
    <m/>
    <m/>
    <m/>
    <m/>
    <m/>
    <n v="1.8"/>
    <m/>
    <m/>
    <n v="340.8"/>
    <d v="2022-11-30T00:00:00"/>
    <m/>
    <m/>
    <m/>
    <n v="340.8"/>
    <m/>
    <m/>
    <m/>
    <m/>
    <m/>
    <n v="340.8"/>
    <m/>
    <s v=""/>
    <x v="8"/>
  </r>
  <r>
    <d v="2022-11-29T00:00:00"/>
    <n v="2"/>
    <n v="48"/>
    <x v="5"/>
    <x v="5"/>
    <s v="D"/>
    <n v="6"/>
    <n v="1"/>
    <s v="CHAN"/>
    <s v="LCC"/>
    <n v="170"/>
    <m/>
    <m/>
    <m/>
    <n v="170"/>
    <m/>
    <m/>
    <m/>
    <m/>
    <m/>
    <m/>
    <m/>
    <n v="0.9"/>
    <m/>
    <m/>
    <n v="170.9"/>
    <d v="2022-11-30T00:00:00"/>
    <m/>
    <n v="170.9"/>
    <m/>
    <m/>
    <m/>
    <m/>
    <m/>
    <m/>
    <m/>
    <n v="170.9"/>
    <m/>
    <s v=""/>
    <x v="8"/>
  </r>
  <r>
    <d v="2022-11-29T00:00:00"/>
    <n v="2"/>
    <n v="48"/>
    <x v="5"/>
    <x v="5"/>
    <s v="D"/>
    <n v="14"/>
    <n v="1"/>
    <s v="ANGLES"/>
    <s v="BK"/>
    <n v="254.7"/>
    <n v="1"/>
    <n v="1"/>
    <m/>
    <n v="254.7"/>
    <n v="12"/>
    <m/>
    <m/>
    <m/>
    <n v="15"/>
    <m/>
    <m/>
    <n v="0.9"/>
    <m/>
    <m/>
    <n v="282.59999999999997"/>
    <d v="2022-11-30T00:00:00"/>
    <n v="282.60000000000002"/>
    <m/>
    <m/>
    <m/>
    <m/>
    <m/>
    <m/>
    <m/>
    <m/>
    <n v="282.60000000000002"/>
    <m/>
    <s v=""/>
    <x v="8"/>
  </r>
  <r>
    <d v="2022-11-29T00:00:00"/>
    <n v="2"/>
    <n v="48"/>
    <x v="5"/>
    <x v="5"/>
    <s v="D"/>
    <n v="15"/>
    <n v="1"/>
    <s v="GAUTHIER"/>
    <s v="BK"/>
    <n v="203"/>
    <n v="1"/>
    <m/>
    <m/>
    <n v="203"/>
    <n v="12"/>
    <m/>
    <m/>
    <m/>
    <m/>
    <m/>
    <m/>
    <n v="0.9"/>
    <m/>
    <m/>
    <n v="215.9"/>
    <d v="2022-11-30T00:00:00"/>
    <n v="215.9"/>
    <m/>
    <m/>
    <m/>
    <m/>
    <m/>
    <m/>
    <m/>
    <m/>
    <n v="215.9"/>
    <m/>
    <s v=""/>
    <x v="8"/>
  </r>
  <r>
    <d v="2022-11-29T00:00:00"/>
    <n v="2"/>
    <n v="48"/>
    <x v="5"/>
    <x v="5"/>
    <s v="D"/>
    <n v="16"/>
    <n v="2"/>
    <s v="BONNEAU"/>
    <s v="LCC"/>
    <n v="260"/>
    <n v="2"/>
    <n v="1"/>
    <m/>
    <n v="260.89999999999998"/>
    <n v="24"/>
    <m/>
    <m/>
    <m/>
    <n v="15"/>
    <m/>
    <m/>
    <n v="0.9"/>
    <m/>
    <m/>
    <n v="300.79999999999995"/>
    <d v="2022-11-30T00:00:00"/>
    <n v="300.8"/>
    <m/>
    <m/>
    <m/>
    <m/>
    <m/>
    <m/>
    <m/>
    <m/>
    <n v="300.8"/>
    <m/>
    <s v=""/>
    <x v="8"/>
  </r>
  <r>
    <d v="2022-11-29T00:00:00"/>
    <n v="2"/>
    <n v="48"/>
    <x v="5"/>
    <x v="5"/>
    <s v="R"/>
    <n v="27"/>
    <n v="1"/>
    <s v="DIAGOURAGA"/>
    <s v="LCC"/>
    <n v="165"/>
    <n v="1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1-29T00:00:00"/>
    <n v="2"/>
    <n v="48"/>
    <x v="5"/>
    <x v="5"/>
    <s v="R"/>
    <n v="5"/>
    <n v="1"/>
    <s v="IDJERI"/>
    <s v="LCC"/>
    <n v="200"/>
    <n v="1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1-29T00:00:00"/>
    <n v="2"/>
    <n v="48"/>
    <x v="5"/>
    <x v="5"/>
    <s v="R"/>
    <n v="12"/>
    <n v="1"/>
    <s v="VACHERON"/>
    <s v="LCC"/>
    <n v="190"/>
    <n v="1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1-29T00:00:00"/>
    <n v="2"/>
    <n v="48"/>
    <x v="5"/>
    <x v="5"/>
    <s v="R"/>
    <n v="20"/>
    <n v="1"/>
    <s v="PEZZETA"/>
    <s v="BK"/>
    <n v="203.4"/>
    <n v="1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1-29T00:00:00"/>
    <n v="2"/>
    <n v="48"/>
    <x v="5"/>
    <x v="5"/>
    <s v="R"/>
    <n v="22"/>
    <n v="1"/>
    <s v="FIDANZA"/>
    <s v="LCC"/>
    <n v="220"/>
    <m/>
    <m/>
    <n v="8"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1-29T00:00:00"/>
    <n v="2"/>
    <n v="48"/>
    <x v="5"/>
    <x v="5"/>
    <s v="R"/>
    <n v="25"/>
    <n v="2"/>
    <s v="IRIART"/>
    <s v="BK"/>
    <n v="224.1"/>
    <n v="2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1-29T00:00:00"/>
    <n v="2"/>
    <n v="48"/>
    <x v="5"/>
    <x v="5"/>
    <m/>
    <m/>
    <m/>
    <s v="CHALLIER (ONESPAN)"/>
    <s v="LCC"/>
    <m/>
    <m/>
    <m/>
    <m/>
    <m/>
    <n v="12"/>
    <m/>
    <m/>
    <m/>
    <m/>
    <m/>
    <m/>
    <m/>
    <m/>
    <m/>
    <n v="12"/>
    <s v=""/>
    <m/>
    <m/>
    <m/>
    <m/>
    <m/>
    <m/>
    <m/>
    <m/>
    <m/>
    <s v=""/>
    <m/>
    <n v="12"/>
    <x v="1"/>
  </r>
  <r>
    <d v="2022-11-30T00:00:00"/>
    <n v="3"/>
    <n v="48"/>
    <x v="6"/>
    <x v="6"/>
    <s v="D"/>
    <n v="21"/>
    <n v="1"/>
    <s v="LEMAIRE"/>
    <s v="BK"/>
    <n v="188.1"/>
    <m/>
    <m/>
    <m/>
    <n v="188.1"/>
    <m/>
    <m/>
    <m/>
    <m/>
    <m/>
    <m/>
    <m/>
    <n v="0.9"/>
    <m/>
    <m/>
    <n v="189"/>
    <d v="2022-11-30T00:00:00"/>
    <n v="189"/>
    <m/>
    <m/>
    <m/>
    <m/>
    <m/>
    <m/>
    <m/>
    <m/>
    <n v="189"/>
    <m/>
    <s v=""/>
    <x v="8"/>
  </r>
  <r>
    <d v="2022-11-30T00:00:00"/>
    <n v="3"/>
    <n v="48"/>
    <x v="6"/>
    <x v="6"/>
    <s v="D"/>
    <n v="22"/>
    <n v="1"/>
    <s v="FIDANZA"/>
    <s v="LCC"/>
    <n v="220"/>
    <n v="1"/>
    <m/>
    <m/>
    <n v="625"/>
    <n v="24"/>
    <n v="20"/>
    <m/>
    <m/>
    <m/>
    <m/>
    <m/>
    <n v="2.7"/>
    <m/>
    <m/>
    <n v="671.7"/>
    <d v="2022-11-30T00:00:00"/>
    <m/>
    <n v="671.7"/>
    <m/>
    <m/>
    <m/>
    <m/>
    <m/>
    <m/>
    <m/>
    <n v="671.7"/>
    <m/>
    <s v=""/>
    <x v="8"/>
  </r>
  <r>
    <d v="2022-11-30T00:00:00"/>
    <n v="3"/>
    <n v="48"/>
    <x v="6"/>
    <x v="6"/>
    <s v="D"/>
    <n v="25"/>
    <n v="2"/>
    <s v="IRIART"/>
    <s v="BK"/>
    <n v="224.1"/>
    <m/>
    <m/>
    <m/>
    <n v="639"/>
    <n v="48"/>
    <m/>
    <m/>
    <m/>
    <m/>
    <m/>
    <m/>
    <n v="2.7"/>
    <m/>
    <m/>
    <n v="689.7"/>
    <d v="2022-11-30T00:00:00"/>
    <n v="689.7"/>
    <m/>
    <m/>
    <m/>
    <m/>
    <m/>
    <m/>
    <m/>
    <m/>
    <n v="689.7"/>
    <m/>
    <s v=""/>
    <x v="8"/>
  </r>
  <r>
    <d v="2022-11-30T00:00:00"/>
    <n v="3"/>
    <n v="48"/>
    <x v="6"/>
    <x v="6"/>
    <s v="D"/>
    <n v="26"/>
    <n v="2"/>
    <s v="DUCHESNE"/>
    <s v="LCC"/>
    <n v="160"/>
    <n v="2"/>
    <n v="1"/>
    <m/>
    <n v="160.9"/>
    <n v="24"/>
    <m/>
    <m/>
    <m/>
    <n v="15"/>
    <m/>
    <m/>
    <n v="0.9"/>
    <m/>
    <m/>
    <n v="200.8"/>
    <d v="2022-12-01T00:00:00"/>
    <n v="200.8"/>
    <m/>
    <m/>
    <m/>
    <m/>
    <m/>
    <m/>
    <m/>
    <m/>
    <n v="200.8"/>
    <m/>
    <s v=""/>
    <x v="9"/>
  </r>
  <r>
    <d v="2022-11-30T00:00:00"/>
    <n v="3"/>
    <n v="48"/>
    <x v="6"/>
    <x v="6"/>
    <s v="D"/>
    <n v="12"/>
    <n v="2"/>
    <s v="VACHERON"/>
    <s v="LCC"/>
    <n v="230"/>
    <m/>
    <m/>
    <m/>
    <n v="400.9"/>
    <n v="12"/>
    <m/>
    <m/>
    <m/>
    <m/>
    <m/>
    <m/>
    <n v="1.8"/>
    <m/>
    <m/>
    <n v="414.7"/>
    <d v="2022-12-01T00:00:00"/>
    <n v="414.7"/>
    <m/>
    <m/>
    <m/>
    <m/>
    <m/>
    <m/>
    <m/>
    <m/>
    <n v="414.7"/>
    <m/>
    <s v=""/>
    <x v="9"/>
  </r>
  <r>
    <d v="2022-11-30T00:00:00"/>
    <n v="3"/>
    <n v="48"/>
    <x v="6"/>
    <x v="6"/>
    <s v="D"/>
    <n v="15"/>
    <n v="2"/>
    <s v="HORN"/>
    <s v="LCC"/>
    <n v="126.9"/>
    <m/>
    <m/>
    <m/>
    <n v="127.8"/>
    <m/>
    <m/>
    <m/>
    <m/>
    <m/>
    <m/>
    <m/>
    <n v="0.9"/>
    <m/>
    <m/>
    <n v="128.69999999999999"/>
    <d v="2022-12-01T00:00:00"/>
    <n v="128.69999999999999"/>
    <m/>
    <m/>
    <m/>
    <m/>
    <m/>
    <m/>
    <m/>
    <m/>
    <n v="128.69999999999999"/>
    <m/>
    <s v=""/>
    <x v="9"/>
  </r>
  <r>
    <d v="2022-11-30T00:00:00"/>
    <n v="3"/>
    <n v="48"/>
    <x v="6"/>
    <x v="6"/>
    <s v="R"/>
    <n v="27"/>
    <n v="1"/>
    <s v="DIAGOURAGA"/>
    <s v="LCC"/>
    <n v="165"/>
    <n v="1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1-30T00:00:00"/>
    <n v="3"/>
    <n v="48"/>
    <x v="6"/>
    <x v="6"/>
    <s v="R"/>
    <n v="5"/>
    <n v="1"/>
    <s v="IDJERI"/>
    <s v="LCC"/>
    <n v="200"/>
    <n v="1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1-30T00:00:00"/>
    <n v="3"/>
    <n v="48"/>
    <x v="6"/>
    <x v="6"/>
    <s v="R"/>
    <n v="20"/>
    <n v="1"/>
    <s v="PEZZETA"/>
    <s v="BK"/>
    <n v="203.4"/>
    <n v="1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1-30T00:00:00"/>
    <n v="3"/>
    <n v="48"/>
    <x v="6"/>
    <x v="6"/>
    <s v="R"/>
    <n v="14"/>
    <n v="1"/>
    <s v="MUSCAT"/>
    <s v="BK"/>
    <n v="181"/>
    <m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1-30T00:00:00"/>
    <n v="3"/>
    <n v="48"/>
    <x v="6"/>
    <x v="6"/>
    <s v="R"/>
    <n v="16"/>
    <n v="2"/>
    <s v="MONGEOT"/>
    <s v="LCC"/>
    <n v="250"/>
    <n v="2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2-01T00:00:00"/>
    <n v="4"/>
    <n v="48"/>
    <x v="7"/>
    <x v="7"/>
    <s v="D"/>
    <n v="27"/>
    <n v="1"/>
    <s v="DIAGOURAGA"/>
    <s v="LCC"/>
    <n v="165"/>
    <m/>
    <m/>
    <m/>
    <n v="495"/>
    <n v="24"/>
    <m/>
    <m/>
    <m/>
    <m/>
    <m/>
    <m/>
    <n v="2.7"/>
    <m/>
    <m/>
    <n v="521.70000000000005"/>
    <d v="2022-12-01T00:00:00"/>
    <m/>
    <m/>
    <m/>
    <m/>
    <m/>
    <m/>
    <m/>
    <m/>
    <m/>
    <s v=""/>
    <m/>
    <n v="521.70000000000005"/>
    <x v="9"/>
  </r>
  <r>
    <d v="2022-12-01T00:00:00"/>
    <n v="4"/>
    <n v="48"/>
    <x v="7"/>
    <x v="7"/>
    <s v="D"/>
    <n v="5"/>
    <n v="1"/>
    <s v="IDJERI"/>
    <s v="LCC"/>
    <n v="200"/>
    <m/>
    <m/>
    <m/>
    <n v="600"/>
    <n v="24"/>
    <m/>
    <m/>
    <m/>
    <m/>
    <m/>
    <m/>
    <n v="2.7"/>
    <m/>
    <m/>
    <n v="626.70000000000005"/>
    <d v="2022-12-01T00:00:00"/>
    <m/>
    <m/>
    <m/>
    <n v="1148.4000000000001"/>
    <m/>
    <m/>
    <m/>
    <m/>
    <m/>
    <n v="1148.4000000000001"/>
    <m/>
    <n v="-521.70000000000005"/>
    <x v="9"/>
  </r>
  <r>
    <d v="2022-12-01T00:00:00"/>
    <n v="4"/>
    <n v="48"/>
    <x v="7"/>
    <x v="7"/>
    <s v="D"/>
    <n v="12"/>
    <n v="2"/>
    <s v="HORN"/>
    <s v="LCC"/>
    <n v="115"/>
    <m/>
    <m/>
    <m/>
    <n v="115.9"/>
    <m/>
    <m/>
    <m/>
    <m/>
    <m/>
    <m/>
    <m/>
    <n v="0.9"/>
    <m/>
    <m/>
    <n v="116.80000000000001"/>
    <d v="2022-12-02T00:00:00"/>
    <n v="116.8"/>
    <m/>
    <m/>
    <m/>
    <m/>
    <m/>
    <m/>
    <m/>
    <m/>
    <n v="116.8"/>
    <m/>
    <s v=""/>
    <x v="10"/>
  </r>
  <r>
    <d v="2022-12-01T00:00:00"/>
    <n v="4"/>
    <n v="48"/>
    <x v="7"/>
    <x v="7"/>
    <s v="R"/>
    <n v="20"/>
    <n v="2"/>
    <s v="PEZZETA"/>
    <s v="BK"/>
    <n v="203.4"/>
    <n v="2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2-01T00:00:00"/>
    <n v="4"/>
    <n v="48"/>
    <x v="7"/>
    <x v="7"/>
    <s v="R"/>
    <n v="6"/>
    <n v="1"/>
    <s v="CANTET"/>
    <s v="LCC"/>
    <n v="175"/>
    <m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2-01T00:00:00"/>
    <n v="4"/>
    <n v="48"/>
    <x v="7"/>
    <x v="7"/>
    <s v="D"/>
    <n v="14"/>
    <n v="1"/>
    <s v="MUSCAT"/>
    <s v="BK"/>
    <n v="141"/>
    <m/>
    <m/>
    <m/>
    <n v="322"/>
    <m/>
    <m/>
    <m/>
    <m/>
    <m/>
    <m/>
    <m/>
    <n v="1.8"/>
    <m/>
    <m/>
    <n v="323.8"/>
    <d v="2022-12-02T00:00:00"/>
    <n v="323.8"/>
    <m/>
    <m/>
    <m/>
    <m/>
    <m/>
    <m/>
    <m/>
    <m/>
    <n v="323.8"/>
    <m/>
    <s v=""/>
    <x v="10"/>
  </r>
  <r>
    <d v="2022-12-01T00:00:00"/>
    <n v="4"/>
    <n v="48"/>
    <x v="7"/>
    <x v="7"/>
    <s v="D"/>
    <n v="16"/>
    <n v="2"/>
    <s v="MONGEOT"/>
    <s v="LCC"/>
    <n v="250"/>
    <m/>
    <m/>
    <m/>
    <n v="501.8"/>
    <n v="24"/>
    <m/>
    <m/>
    <m/>
    <m/>
    <m/>
    <m/>
    <n v="1.8"/>
    <m/>
    <m/>
    <n v="527.59999999999991"/>
    <d v="2022-12-01T00:00:00"/>
    <n v="527.6"/>
    <m/>
    <m/>
    <m/>
    <m/>
    <m/>
    <m/>
    <m/>
    <m/>
    <n v="527.6"/>
    <m/>
    <s v=""/>
    <x v="9"/>
  </r>
  <r>
    <d v="2022-12-02T00:00:00"/>
    <n v="5"/>
    <n v="48"/>
    <x v="8"/>
    <x v="8"/>
    <s v="D"/>
    <n v="26"/>
    <n v="2"/>
    <s v="JOMAIN"/>
    <s v="BK"/>
    <n v="147"/>
    <m/>
    <n v="1"/>
    <m/>
    <n v="147.9"/>
    <m/>
    <m/>
    <m/>
    <m/>
    <n v="15"/>
    <m/>
    <m/>
    <n v="0.9"/>
    <m/>
    <m/>
    <n v="163.80000000000001"/>
    <d v="2022-12-03T00:00:00"/>
    <n v="163.80000000000001"/>
    <m/>
    <m/>
    <m/>
    <m/>
    <m/>
    <m/>
    <m/>
    <m/>
    <n v="163.80000000000001"/>
    <m/>
    <s v=""/>
    <x v="11"/>
  </r>
  <r>
    <d v="2022-12-02T00:00:00"/>
    <n v="5"/>
    <n v="48"/>
    <x v="8"/>
    <x v="8"/>
    <s v="D"/>
    <n v="27"/>
    <n v="2"/>
    <s v="RAEMAEKERS"/>
    <s v="BK"/>
    <n v="132.30000000000001"/>
    <m/>
    <m/>
    <m/>
    <n v="133.19999999999999"/>
    <m/>
    <m/>
    <m/>
    <m/>
    <m/>
    <m/>
    <m/>
    <n v="0.9"/>
    <m/>
    <m/>
    <n v="134.1"/>
    <d v="2022-12-03T00:00:00"/>
    <n v="158.4"/>
    <m/>
    <m/>
    <m/>
    <m/>
    <m/>
    <m/>
    <m/>
    <m/>
    <n v="158.4"/>
    <m/>
    <n v="-24.300000000000011"/>
    <x v="11"/>
  </r>
  <r>
    <d v="2022-12-02T00:00:00"/>
    <n v="5"/>
    <n v="48"/>
    <x v="8"/>
    <x v="8"/>
    <s v="R"/>
    <n v="5"/>
    <n v="2"/>
    <s v="CANTET"/>
    <s v="LCC"/>
    <n v="169"/>
    <n v="2"/>
    <n v="1"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2-02T00:00:00"/>
    <n v="5"/>
    <n v="48"/>
    <x v="8"/>
    <x v="8"/>
    <s v="R"/>
    <n v="20"/>
    <n v="2"/>
    <s v="PEZZETA"/>
    <s v="BK"/>
    <n v="147.6"/>
    <m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2-02T00:00:00"/>
    <n v="5"/>
    <n v="48"/>
    <x v="8"/>
    <x v="8"/>
    <s v="D"/>
    <n v="21"/>
    <n v="2"/>
    <s v="DAXHELET"/>
    <s v="BK"/>
    <n v="157.5"/>
    <m/>
    <m/>
    <m/>
    <n v="158.4"/>
    <m/>
    <m/>
    <m/>
    <m/>
    <m/>
    <m/>
    <m/>
    <n v="0.9"/>
    <m/>
    <m/>
    <n v="159.30000000000001"/>
    <d v="2022-12-03T00:00:00"/>
    <n v="159.30000000000001"/>
    <m/>
    <m/>
    <m/>
    <m/>
    <m/>
    <m/>
    <m/>
    <m/>
    <n v="159.30000000000001"/>
    <m/>
    <s v=""/>
    <x v="11"/>
  </r>
  <r>
    <d v="2022-12-02T00:00:00"/>
    <n v="5"/>
    <n v="48"/>
    <x v="8"/>
    <x v="8"/>
    <s v="R"/>
    <n v="6"/>
    <n v="3"/>
    <s v="CANTET"/>
    <s v="LCC"/>
    <n v="205"/>
    <n v="3"/>
    <m/>
    <n v="5"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2-02T00:00:00"/>
    <n v="5"/>
    <n v="48"/>
    <x v="8"/>
    <x v="8"/>
    <s v="D"/>
    <n v="15"/>
    <n v="3"/>
    <s v="RIOU"/>
    <s v="LCC"/>
    <n v="122.4"/>
    <n v="2"/>
    <m/>
    <m/>
    <n v="124.2"/>
    <n v="24"/>
    <m/>
    <m/>
    <m/>
    <m/>
    <m/>
    <m/>
    <n v="0.9"/>
    <m/>
    <m/>
    <n v="149.1"/>
    <d v="2022-12-03T00:00:00"/>
    <n v="149.1"/>
    <m/>
    <m/>
    <m/>
    <m/>
    <m/>
    <m/>
    <m/>
    <m/>
    <n v="149.1"/>
    <m/>
    <s v=""/>
    <x v="11"/>
  </r>
  <r>
    <d v="2022-12-02T00:00:00"/>
    <n v="5"/>
    <n v="48"/>
    <x v="8"/>
    <x v="8"/>
    <s v="R"/>
    <n v="16"/>
    <n v="2"/>
    <s v="CANTET"/>
    <s v="LCC"/>
    <n v="180"/>
    <n v="1"/>
    <n v="1"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2-02T00:00:00"/>
    <n v="5"/>
    <n v="48"/>
    <x v="8"/>
    <x v="8"/>
    <s v="D"/>
    <n v="24"/>
    <n v="2"/>
    <s v="LADEUZE"/>
    <s v="BK"/>
    <n v="208.8"/>
    <m/>
    <m/>
    <m/>
    <n v="209.7"/>
    <m/>
    <m/>
    <m/>
    <m/>
    <m/>
    <m/>
    <m/>
    <n v="0.9"/>
    <m/>
    <m/>
    <n v="210.6"/>
    <d v="2022-12-03T00:00:00"/>
    <n v="186.3"/>
    <m/>
    <m/>
    <m/>
    <m/>
    <m/>
    <m/>
    <m/>
    <m/>
    <n v="186.3"/>
    <m/>
    <n v="24.299999999999983"/>
    <x v="11"/>
  </r>
  <r>
    <d v="2022-12-02T00:00:00"/>
    <n v="5"/>
    <n v="48"/>
    <x v="8"/>
    <x v="8"/>
    <s v="D"/>
    <n v="1"/>
    <n v="0"/>
    <s v="MAGAT"/>
    <s v="LCC"/>
    <n v="55.2"/>
    <m/>
    <m/>
    <m/>
    <n v="55.2"/>
    <m/>
    <m/>
    <m/>
    <m/>
    <m/>
    <m/>
    <m/>
    <m/>
    <m/>
    <m/>
    <n v="55.2"/>
    <d v="2022-12-02T00:00:00"/>
    <m/>
    <m/>
    <n v="55.2"/>
    <m/>
    <m/>
    <m/>
    <m/>
    <m/>
    <m/>
    <n v="55.2"/>
    <m/>
    <s v=""/>
    <x v="10"/>
  </r>
  <r>
    <d v="2022-12-03T00:00:00"/>
    <n v="6"/>
    <n v="48"/>
    <x v="9"/>
    <x v="9"/>
    <s v="D"/>
    <n v="1"/>
    <n v="2"/>
    <s v="LANNES"/>
    <s v="LCC"/>
    <n v="113"/>
    <n v="2"/>
    <m/>
    <m/>
    <n v="114.8"/>
    <n v="24"/>
    <m/>
    <m/>
    <m/>
    <m/>
    <m/>
    <m/>
    <n v="0.9"/>
    <m/>
    <m/>
    <n v="139.70000000000002"/>
    <d v="2022-12-03T00:00:00"/>
    <n v="139.69999999999999"/>
    <m/>
    <m/>
    <m/>
    <m/>
    <m/>
    <m/>
    <m/>
    <m/>
    <n v="139.69999999999999"/>
    <m/>
    <s v=""/>
    <x v="11"/>
  </r>
  <r>
    <d v="2022-12-03T00:00:00"/>
    <n v="6"/>
    <n v="48"/>
    <x v="9"/>
    <x v="9"/>
    <s v="D"/>
    <n v="26"/>
    <n v="2"/>
    <s v="ALCAZAR"/>
    <s v="BK"/>
    <n v="132.30000000000001"/>
    <m/>
    <n v="1"/>
    <m/>
    <n v="133.19999999999999"/>
    <m/>
    <m/>
    <m/>
    <m/>
    <n v="15"/>
    <m/>
    <m/>
    <n v="0.9"/>
    <m/>
    <m/>
    <n v="149.1"/>
    <d v="2022-12-04T00:00:00"/>
    <n v="149.1"/>
    <m/>
    <m/>
    <m/>
    <m/>
    <m/>
    <m/>
    <m/>
    <m/>
    <n v="149.1"/>
    <m/>
    <s v=""/>
    <x v="12"/>
  </r>
  <r>
    <d v="2022-12-03T00:00:00"/>
    <n v="6"/>
    <n v="48"/>
    <x v="9"/>
    <x v="9"/>
    <s v="R"/>
    <n v="27"/>
    <n v="2"/>
    <s v="LOPEZ ORTEGA"/>
    <s v="BK"/>
    <n v="157.5"/>
    <m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2-03T00:00:00"/>
    <n v="6"/>
    <n v="48"/>
    <x v="9"/>
    <x v="9"/>
    <s v="D"/>
    <n v="5"/>
    <n v="2"/>
    <s v="CANTET"/>
    <s v="LCC"/>
    <n v="169"/>
    <n v="2"/>
    <n v="1"/>
    <m/>
    <n v="339.8"/>
    <n v="48"/>
    <m/>
    <m/>
    <m/>
    <n v="30"/>
    <m/>
    <m/>
    <n v="1.8"/>
    <m/>
    <m/>
    <n v="419.6"/>
    <d v="2022-12-04T00:00:00"/>
    <m/>
    <m/>
    <m/>
    <m/>
    <m/>
    <m/>
    <m/>
    <m/>
    <m/>
    <s v=""/>
    <m/>
    <n v="419.6"/>
    <x v="12"/>
  </r>
  <r>
    <d v="2022-12-03T00:00:00"/>
    <n v="6"/>
    <n v="48"/>
    <x v="9"/>
    <x v="9"/>
    <s v="D"/>
    <n v="12"/>
    <n v="2"/>
    <s v="ADAM"/>
    <s v="BK"/>
    <n v="132.30000000000001"/>
    <m/>
    <m/>
    <m/>
    <n v="133.19999999999999"/>
    <m/>
    <m/>
    <m/>
    <m/>
    <m/>
    <m/>
    <m/>
    <n v="0.9"/>
    <m/>
    <m/>
    <n v="134.1"/>
    <d v="2022-12-04T00:00:00"/>
    <n v="134.1"/>
    <m/>
    <m/>
    <m/>
    <m/>
    <m/>
    <m/>
    <m/>
    <m/>
    <n v="134.1"/>
    <m/>
    <s v=""/>
    <x v="12"/>
  </r>
  <r>
    <d v="2022-12-03T00:00:00"/>
    <n v="6"/>
    <n v="48"/>
    <x v="9"/>
    <x v="9"/>
    <s v="D"/>
    <n v="20"/>
    <n v="2"/>
    <s v="PEZZETA"/>
    <s v="BK"/>
    <n v="147.6"/>
    <m/>
    <m/>
    <m/>
    <n v="908.10000000000014"/>
    <n v="48"/>
    <m/>
    <m/>
    <m/>
    <m/>
    <m/>
    <m/>
    <n v="4.5"/>
    <m/>
    <m/>
    <n v="960.60000000000014"/>
    <d v="2022-12-04T00:00:00"/>
    <n v="960.6"/>
    <m/>
    <m/>
    <m/>
    <m/>
    <m/>
    <m/>
    <m/>
    <m/>
    <n v="960.6"/>
    <m/>
    <s v=""/>
    <x v="12"/>
  </r>
  <r>
    <d v="2022-12-03T00:00:00"/>
    <n v="6"/>
    <n v="48"/>
    <x v="9"/>
    <x v="9"/>
    <s v="D"/>
    <n v="21"/>
    <n v="2"/>
    <s v="DAMESTOY"/>
    <s v="LCC"/>
    <n v="190"/>
    <m/>
    <m/>
    <m/>
    <n v="190.9"/>
    <m/>
    <m/>
    <m/>
    <m/>
    <m/>
    <m/>
    <m/>
    <n v="0.9"/>
    <m/>
    <m/>
    <n v="191.8"/>
    <d v="2022-12-04T00:00:00"/>
    <m/>
    <m/>
    <m/>
    <m/>
    <m/>
    <n v="190"/>
    <n v="1.8"/>
    <m/>
    <m/>
    <n v="191.8"/>
    <m/>
    <s v=""/>
    <x v="12"/>
  </r>
  <r>
    <d v="2022-12-03T00:00:00"/>
    <n v="6"/>
    <n v="48"/>
    <x v="9"/>
    <x v="9"/>
    <s v="D"/>
    <n v="22"/>
    <n v="2"/>
    <s v="LAFARGUE"/>
    <s v="LCC"/>
    <n v="180"/>
    <n v="2"/>
    <m/>
    <m/>
    <n v="180.9"/>
    <n v="24"/>
    <m/>
    <m/>
    <m/>
    <m/>
    <m/>
    <m/>
    <n v="0.9"/>
    <m/>
    <m/>
    <n v="205.8"/>
    <d v="2022-12-04T00:00:00"/>
    <n v="205.8"/>
    <m/>
    <m/>
    <m/>
    <m/>
    <m/>
    <m/>
    <m/>
    <m/>
    <n v="205.8"/>
    <m/>
    <s v=""/>
    <x v="12"/>
  </r>
  <r>
    <d v="2022-12-03T00:00:00"/>
    <n v="6"/>
    <n v="48"/>
    <x v="9"/>
    <x v="9"/>
    <s v="R"/>
    <n v="25"/>
    <n v="2"/>
    <s v="PANIAGUA"/>
    <s v="BK"/>
    <n v="203.4"/>
    <n v="2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2-03T00:00:00"/>
    <n v="6"/>
    <n v="48"/>
    <x v="9"/>
    <x v="9"/>
    <s v="D"/>
    <n v="6"/>
    <n v="3"/>
    <s v="CANTET"/>
    <s v="LCC"/>
    <n v="205"/>
    <n v="3"/>
    <m/>
    <m/>
    <n v="588.6"/>
    <n v="72"/>
    <n v="9"/>
    <m/>
    <m/>
    <m/>
    <m/>
    <m/>
    <n v="2.7"/>
    <m/>
    <m/>
    <n v="672.30000000000007"/>
    <d v="2022-12-04T00:00:00"/>
    <m/>
    <m/>
    <m/>
    <m/>
    <m/>
    <m/>
    <m/>
    <m/>
    <m/>
    <s v=""/>
    <m/>
    <n v="672.30000000000007"/>
    <x v="12"/>
  </r>
  <r>
    <d v="2022-12-03T00:00:00"/>
    <n v="6"/>
    <n v="48"/>
    <x v="9"/>
    <x v="9"/>
    <s v="D"/>
    <n v="14"/>
    <n v="2"/>
    <s v="ADAM"/>
    <s v="LCC"/>
    <n v="215"/>
    <n v="2"/>
    <m/>
    <m/>
    <n v="215.9"/>
    <n v="24"/>
    <m/>
    <m/>
    <m/>
    <m/>
    <m/>
    <m/>
    <n v="0.9"/>
    <m/>
    <m/>
    <n v="240.8"/>
    <d v="2022-12-04T00:00:00"/>
    <n v="240.8"/>
    <m/>
    <m/>
    <m/>
    <m/>
    <m/>
    <m/>
    <m/>
    <m/>
    <n v="240.8"/>
    <m/>
    <s v=""/>
    <x v="12"/>
  </r>
  <r>
    <d v="2022-12-03T00:00:00"/>
    <n v="6"/>
    <n v="48"/>
    <x v="9"/>
    <x v="9"/>
    <s v="R"/>
    <n v="15"/>
    <n v="3"/>
    <s v="ETXEBARRIA"/>
    <s v="BK"/>
    <n v="237.6"/>
    <m/>
    <n v="1"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2-03T00:00:00"/>
    <n v="6"/>
    <n v="48"/>
    <x v="9"/>
    <x v="9"/>
    <s v="D"/>
    <n v="16"/>
    <n v="2"/>
    <s v="CANTET"/>
    <s v="LCC"/>
    <n v="180"/>
    <n v="2"/>
    <m/>
    <m/>
    <n v="361.8"/>
    <n v="36"/>
    <m/>
    <m/>
    <m/>
    <n v="15"/>
    <m/>
    <m/>
    <n v="1.8"/>
    <m/>
    <m/>
    <n v="414.6"/>
    <d v="2022-12-04T00:00:00"/>
    <n v="1506.5"/>
    <m/>
    <m/>
    <m/>
    <m/>
    <m/>
    <m/>
    <m/>
    <m/>
    <n v="1506.5"/>
    <m/>
    <n v="-1091.9000000000001"/>
    <x v="12"/>
  </r>
  <r>
    <d v="2022-12-03T00:00:00"/>
    <n v="6"/>
    <n v="48"/>
    <x v="9"/>
    <x v="9"/>
    <s v="D"/>
    <n v="24"/>
    <n v="3"/>
    <s v="LISEI"/>
    <s v="BK"/>
    <n v="248.4"/>
    <m/>
    <m/>
    <m/>
    <n v="250.20000000000002"/>
    <m/>
    <m/>
    <m/>
    <m/>
    <m/>
    <m/>
    <m/>
    <n v="0.9"/>
    <m/>
    <m/>
    <n v="251.10000000000002"/>
    <d v="2022-12-04T00:00:00"/>
    <n v="251.1"/>
    <m/>
    <m/>
    <m/>
    <m/>
    <m/>
    <m/>
    <m/>
    <m/>
    <n v="251.1"/>
    <m/>
    <s v=""/>
    <x v="12"/>
  </r>
  <r>
    <d v="2022-12-20T00:00:00"/>
    <n v="2"/>
    <n v="51"/>
    <x v="10"/>
    <x v="10"/>
    <s v="D"/>
    <n v="27"/>
    <n v="2"/>
    <s v="LAFARGUE"/>
    <s v="LCC"/>
    <n v="95"/>
    <m/>
    <m/>
    <m/>
    <n v="191.8"/>
    <m/>
    <m/>
    <m/>
    <m/>
    <m/>
    <m/>
    <m/>
    <n v="1.8"/>
    <m/>
    <m/>
    <n v="193.60000000000002"/>
    <d v="2022-12-21T00:00:00"/>
    <m/>
    <m/>
    <n v="193.6"/>
    <m/>
    <m/>
    <m/>
    <m/>
    <m/>
    <m/>
    <n v="193.6"/>
    <m/>
    <s v=""/>
    <x v="13"/>
  </r>
  <r>
    <d v="2022-12-20T00:00:00"/>
    <n v="2"/>
    <n v="51"/>
    <x v="10"/>
    <x v="10"/>
    <s v="D"/>
    <n v="20"/>
    <n v="2"/>
    <s v="PIOU"/>
    <s v="LCC"/>
    <n v="115"/>
    <n v="2"/>
    <n v="1"/>
    <n v="3"/>
    <n v="115.9"/>
    <n v="24"/>
    <m/>
    <m/>
    <m/>
    <n v="15"/>
    <m/>
    <m/>
    <n v="0.9"/>
    <m/>
    <m/>
    <n v="155.80000000000001"/>
    <d v="2022-12-20T00:00:00"/>
    <n v="155.80000000000001"/>
    <m/>
    <m/>
    <m/>
    <m/>
    <m/>
    <m/>
    <m/>
    <m/>
    <n v="155.80000000000001"/>
    <m/>
    <s v=""/>
    <x v="14"/>
  </r>
  <r>
    <d v="2022-12-20T00:00:00"/>
    <n v="2"/>
    <n v="51"/>
    <x v="10"/>
    <x v="10"/>
    <s v="D"/>
    <n v="21"/>
    <n v="2"/>
    <s v="DUCHAMP"/>
    <s v="LCC"/>
    <n v="115"/>
    <m/>
    <n v="1"/>
    <m/>
    <n v="231.8"/>
    <m/>
    <m/>
    <m/>
    <m/>
    <n v="30"/>
    <m/>
    <m/>
    <n v="1.8"/>
    <m/>
    <m/>
    <n v="263.60000000000002"/>
    <d v="2022-12-21T00:00:00"/>
    <n v="263.60000000000002"/>
    <m/>
    <m/>
    <m/>
    <m/>
    <m/>
    <m/>
    <m/>
    <m/>
    <n v="263.60000000000002"/>
    <m/>
    <s v=""/>
    <x v="13"/>
  </r>
  <r>
    <d v="2022-12-20T00:00:00"/>
    <n v="2"/>
    <n v="51"/>
    <x v="10"/>
    <x v="10"/>
    <s v="D"/>
    <n v="22"/>
    <n v="1"/>
    <s v="TRAN KHANH VIET"/>
    <s v="LCC"/>
    <n v="125"/>
    <m/>
    <m/>
    <m/>
    <n v="535"/>
    <n v="48"/>
    <m/>
    <m/>
    <m/>
    <m/>
    <m/>
    <m/>
    <n v="3.6"/>
    <m/>
    <m/>
    <n v="586.6"/>
    <d v="2022-12-21T00:00:00"/>
    <m/>
    <m/>
    <n v="586.6"/>
    <m/>
    <m/>
    <m/>
    <m/>
    <m/>
    <m/>
    <n v="586.6"/>
    <m/>
    <s v=""/>
    <x v="13"/>
  </r>
  <r>
    <d v="2022-12-20T00:00:00"/>
    <n v="2"/>
    <n v="51"/>
    <x v="10"/>
    <x v="10"/>
    <s v="R"/>
    <n v="25"/>
    <n v="1"/>
    <s v="METIVIER"/>
    <s v="LCC"/>
    <n v="115"/>
    <n v="1"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2-20T00:00:00"/>
    <n v="2"/>
    <n v="51"/>
    <x v="10"/>
    <x v="10"/>
    <s v="D"/>
    <n v="6"/>
    <n v="2"/>
    <s v="MASOROCIC"/>
    <s v="LCC"/>
    <n v="115"/>
    <n v="2"/>
    <m/>
    <m/>
    <n v="115.9"/>
    <n v="24"/>
    <m/>
    <m/>
    <m/>
    <m/>
    <m/>
    <m/>
    <n v="0.9"/>
    <m/>
    <m/>
    <n v="140.80000000000001"/>
    <d v="2022-12-20T00:00:00"/>
    <n v="140.80000000000001"/>
    <m/>
    <m/>
    <m/>
    <m/>
    <m/>
    <m/>
    <m/>
    <m/>
    <n v="140.80000000000001"/>
    <m/>
    <s v=""/>
    <x v="14"/>
  </r>
  <r>
    <d v="2022-12-20T00:00:00"/>
    <n v="2"/>
    <n v="51"/>
    <x v="10"/>
    <x v="10"/>
    <s v="D"/>
    <n v="14"/>
    <n v="2"/>
    <s v="ROQUE"/>
    <s v="BK"/>
    <n v="96.3"/>
    <n v="2"/>
    <m/>
    <m/>
    <n v="97.2"/>
    <n v="24"/>
    <m/>
    <m/>
    <m/>
    <m/>
    <m/>
    <m/>
    <n v="0.9"/>
    <m/>
    <m/>
    <n v="122.10000000000001"/>
    <d v="2022-12-21T00:00:00"/>
    <n v="122.1"/>
    <m/>
    <m/>
    <m/>
    <m/>
    <m/>
    <m/>
    <m/>
    <m/>
    <n v="122.1"/>
    <m/>
    <s v=""/>
    <x v="13"/>
  </r>
  <r>
    <d v="2022-12-20T00:00:00"/>
    <n v="2"/>
    <n v="51"/>
    <x v="10"/>
    <x v="10"/>
    <s v="R"/>
    <n v="15"/>
    <n v="3"/>
    <s v="NUSSBAUMER"/>
    <s v="LCC"/>
    <n v="205"/>
    <m/>
    <m/>
    <m/>
    <m/>
    <m/>
    <m/>
    <m/>
    <m/>
    <m/>
    <m/>
    <m/>
    <m/>
    <m/>
    <m/>
    <s v=""/>
    <s v=""/>
    <m/>
    <m/>
    <m/>
    <m/>
    <m/>
    <m/>
    <m/>
    <m/>
    <m/>
    <s v=""/>
    <m/>
    <s v=""/>
    <x v="1"/>
  </r>
  <r>
    <d v="2022-12-20T00:00:00"/>
    <n v="2"/>
    <n v="51"/>
    <x v="10"/>
    <x v="10"/>
    <s v="D"/>
    <n v="16"/>
    <n v="2"/>
    <s v="COURCELLE"/>
    <s v="BK"/>
    <n v="107"/>
    <m/>
    <n v="1"/>
    <m/>
    <n v="107.9"/>
    <m/>
    <m/>
    <m/>
    <m/>
    <n v="15"/>
    <m/>
    <m/>
    <n v="0.9"/>
    <m/>
    <m/>
    <n v="123.80000000000001"/>
    <d v="2022-12-21T00:00:00"/>
    <n v="123.8"/>
    <m/>
    <m/>
    <m/>
    <m/>
    <m/>
    <m/>
    <m/>
    <m/>
    <n v="123.8"/>
    <m/>
    <s v=""/>
    <x v="13"/>
  </r>
  <r>
    <d v="2022-12-20T00:00:00"/>
    <n v="2"/>
    <n v="51"/>
    <x v="10"/>
    <x v="10"/>
    <s v="D"/>
    <n v="24"/>
    <n v="2"/>
    <s v="PAVLOVSKY"/>
    <s v="LCC"/>
    <n v="95"/>
    <n v="2"/>
    <m/>
    <m/>
    <n v="95.9"/>
    <n v="24"/>
    <m/>
    <m/>
    <m/>
    <m/>
    <m/>
    <m/>
    <n v="0.9"/>
    <m/>
    <m/>
    <n v="120.80000000000001"/>
    <d v="2022-12-21T00:00:00"/>
    <n v="120.8"/>
    <m/>
    <m/>
    <m/>
    <m/>
    <m/>
    <m/>
    <m/>
    <m/>
    <n v="120.8"/>
    <m/>
    <s v=""/>
    <x v="13"/>
  </r>
  <r>
    <d v="2022-12-22T00:00:00"/>
    <n v="4"/>
    <n v="51"/>
    <x v="11"/>
    <x v="11"/>
    <s v="D"/>
    <n v="5"/>
    <n v="2"/>
    <s v="STOCKLI"/>
    <s v="BK"/>
    <n v="117"/>
    <m/>
    <m/>
    <m/>
    <n v="117.9"/>
    <m/>
    <m/>
    <m/>
    <m/>
    <m/>
    <m/>
    <m/>
    <n v="0.9"/>
    <m/>
    <m/>
    <n v="118.80000000000001"/>
    <d v="2022-12-22T00:00:00"/>
    <n v="118.8"/>
    <m/>
    <m/>
    <m/>
    <m/>
    <m/>
    <m/>
    <m/>
    <m/>
    <n v="118.8"/>
    <m/>
    <s v=""/>
    <x v="15"/>
  </r>
  <r>
    <d v="2022-12-22T00:00:00"/>
    <n v="4"/>
    <n v="51"/>
    <x v="11"/>
    <x v="11"/>
    <s v="D"/>
    <n v="12"/>
    <n v="2"/>
    <s v="LARDILLIER"/>
    <s v="BK"/>
    <n v="96.3"/>
    <n v="2"/>
    <m/>
    <m/>
    <n v="97.2"/>
    <n v="24"/>
    <m/>
    <m/>
    <m/>
    <m/>
    <m/>
    <m/>
    <n v="0.9"/>
    <m/>
    <m/>
    <n v="122.10000000000001"/>
    <d v="2022-12-23T00:00:00"/>
    <n v="122.1"/>
    <m/>
    <m/>
    <m/>
    <m/>
    <m/>
    <m/>
    <m/>
    <m/>
    <n v="122.1"/>
    <m/>
    <s v=""/>
    <x v="16"/>
  </r>
  <r>
    <d v="2022-12-22T00:00:00"/>
    <n v="4"/>
    <n v="51"/>
    <x v="11"/>
    <x v="11"/>
    <s v="D"/>
    <n v="20"/>
    <n v="2"/>
    <s v="CABANIS"/>
    <s v="LCC"/>
    <n v="95"/>
    <m/>
    <m/>
    <m/>
    <n v="95.9"/>
    <m/>
    <m/>
    <m/>
    <m/>
    <m/>
    <m/>
    <m/>
    <n v="0.9"/>
    <m/>
    <m/>
    <n v="96.800000000000011"/>
    <d v="2022-12-23T00:00:00"/>
    <n v="96.8"/>
    <m/>
    <m/>
    <m/>
    <m/>
    <m/>
    <m/>
    <m/>
    <m/>
    <n v="96.8"/>
    <m/>
    <s v=""/>
    <x v="16"/>
  </r>
  <r>
    <d v="2022-12-22T00:00:00"/>
    <n v="4"/>
    <n v="51"/>
    <x v="11"/>
    <x v="11"/>
    <s v="D"/>
    <n v="21"/>
    <n v="2"/>
    <s v="LAGARRIGUE"/>
    <s v="BK"/>
    <n v="96.3"/>
    <m/>
    <m/>
    <m/>
    <n v="97.2"/>
    <m/>
    <m/>
    <m/>
    <m/>
    <m/>
    <m/>
    <m/>
    <n v="0.9"/>
    <m/>
    <m/>
    <n v="98.100000000000009"/>
    <d v="2022-12-22T00:00:00"/>
    <n v="98.1"/>
    <m/>
    <m/>
    <m/>
    <m/>
    <m/>
    <m/>
    <m/>
    <m/>
    <n v="98.1"/>
    <m/>
    <s v=""/>
    <x v="15"/>
  </r>
  <r>
    <d v="2022-12-22T00:00:00"/>
    <n v="4"/>
    <n v="51"/>
    <x v="11"/>
    <x v="11"/>
    <s v="D"/>
    <n v="22"/>
    <n v="1"/>
    <s v="NEANT"/>
    <s v="BK"/>
    <n v="96.3"/>
    <n v="1"/>
    <m/>
    <m/>
    <n v="96.3"/>
    <n v="12"/>
    <m/>
    <m/>
    <m/>
    <m/>
    <m/>
    <m/>
    <n v="0.9"/>
    <m/>
    <m/>
    <n v="109.2"/>
    <d v="2022-12-22T00:00:00"/>
    <n v="109.2"/>
    <m/>
    <m/>
    <m/>
    <m/>
    <m/>
    <m/>
    <m/>
    <m/>
    <n v="109.2"/>
    <m/>
    <s v=""/>
    <x v="15"/>
  </r>
  <r>
    <d v="2022-12-22T00:00:00"/>
    <n v="4"/>
    <n v="51"/>
    <x v="11"/>
    <x v="11"/>
    <s v="D"/>
    <n v="25"/>
    <n v="1"/>
    <s v="METIVIER"/>
    <s v="LCC"/>
    <n v="115"/>
    <n v="1"/>
    <m/>
    <m/>
    <n v="345"/>
    <n v="36"/>
    <m/>
    <m/>
    <m/>
    <m/>
    <m/>
    <m/>
    <n v="2.7"/>
    <m/>
    <m/>
    <n v="383.7"/>
    <d v="2022-12-23T00:00:00"/>
    <m/>
    <m/>
    <n v="383.7"/>
    <m/>
    <m/>
    <m/>
    <m/>
    <m/>
    <m/>
    <n v="383.7"/>
    <m/>
    <s v=""/>
    <x v="16"/>
  </r>
  <r>
    <d v="2022-12-22T00:00:00"/>
    <n v="4"/>
    <n v="51"/>
    <x v="11"/>
    <x v="11"/>
    <s v="D"/>
    <n v="14"/>
    <n v="1"/>
    <s v="THOMAZO"/>
    <s v="BK"/>
    <n v="96.3"/>
    <n v="1"/>
    <m/>
    <m/>
    <n v="96.3"/>
    <n v="28"/>
    <m/>
    <m/>
    <m/>
    <m/>
    <m/>
    <m/>
    <n v="0.9"/>
    <m/>
    <m/>
    <n v="125.2"/>
    <d v="2022-12-22T00:00:00"/>
    <n v="125.2"/>
    <m/>
    <m/>
    <m/>
    <m/>
    <m/>
    <m/>
    <m/>
    <m/>
    <n v="125.2"/>
    <m/>
    <s v=""/>
    <x v="15"/>
  </r>
  <r>
    <d v="2022-12-22T00:00:00"/>
    <n v="4"/>
    <n v="51"/>
    <x v="11"/>
    <x v="11"/>
    <s v="D"/>
    <n v="15"/>
    <n v="2"/>
    <s v="DESPOUY"/>
    <s v="LCC"/>
    <n v="135"/>
    <m/>
    <n v="2"/>
    <m/>
    <n v="135.9"/>
    <m/>
    <m/>
    <m/>
    <m/>
    <n v="30"/>
    <m/>
    <m/>
    <n v="0.9"/>
    <m/>
    <m/>
    <n v="166.8"/>
    <d v="2022-12-23T00:00:00"/>
    <n v="166.8"/>
    <m/>
    <m/>
    <m/>
    <m/>
    <m/>
    <m/>
    <m/>
    <m/>
    <n v="166.8"/>
    <m/>
    <s v=""/>
    <x v="16"/>
  </r>
  <r>
    <d v="2022-12-22T00:00:00"/>
    <n v="4"/>
    <n v="51"/>
    <x v="11"/>
    <x v="11"/>
    <s v="D"/>
    <n v="16"/>
    <n v="1"/>
    <s v="CORDINA"/>
    <s v="BK"/>
    <n v="107"/>
    <n v="1"/>
    <m/>
    <m/>
    <n v="107.1"/>
    <m/>
    <m/>
    <m/>
    <m/>
    <m/>
    <m/>
    <m/>
    <n v="0.9"/>
    <m/>
    <m/>
    <n v="108"/>
    <d v="2022-12-23T00:00:00"/>
    <m/>
    <m/>
    <m/>
    <n v="108"/>
    <m/>
    <m/>
    <m/>
    <m/>
    <m/>
    <n v="108"/>
    <m/>
    <s v=""/>
    <x v="16"/>
  </r>
  <r>
    <d v="2022-12-22T00:00:00"/>
    <n v="4"/>
    <n v="51"/>
    <x v="11"/>
    <x v="11"/>
    <s v="D"/>
    <n v="24"/>
    <n v="2"/>
    <s v="PETIT-PERROT"/>
    <s v="BK"/>
    <n v="122.4"/>
    <n v="2"/>
    <n v="1"/>
    <m/>
    <n v="123.3"/>
    <n v="24"/>
    <m/>
    <m/>
    <m/>
    <n v="15"/>
    <m/>
    <m/>
    <n v="0.9"/>
    <m/>
    <m/>
    <n v="163.20000000000002"/>
    <d v="2022-12-22T00:00:00"/>
    <n v="163.19999999999999"/>
    <m/>
    <m/>
    <m/>
    <m/>
    <m/>
    <m/>
    <m/>
    <m/>
    <n v="163.19999999999999"/>
    <m/>
    <s v=""/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DD1185-BBC5-49BE-8977-5DF2FACBF6B1}" name="TCD_RECETTES" cacheId="8" applyNumberFormats="0" applyBorderFormats="0" applyFontFormats="0" applyPatternFormats="0" applyAlignmentFormats="0" applyWidthHeightFormats="1" dataCaption="Valeurs" grandTotalCaption="TOTAL GENERAL" updatedVersion="7" minRefreshableVersion="5" itemPrintTitles="1" createdVersion="7" indent="0" outline="1" outlineData="1" multipleFieldFilters="0" rowHeaderCaption="DATE">
  <location ref="A8:N26" firstHeaderRow="0" firstDataRow="1" firstDataCol="1"/>
  <pivotFields count="59">
    <pivotField numFmtId="166" showAll="0"/>
    <pivotField numFmtId="1" showAll="0"/>
    <pivotField numFmtId="1" showAll="0"/>
    <pivotField numFmtId="16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  <item t="default"/>
      </items>
    </pivotField>
    <pivotField axis="axisRow" numFmtId="165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1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3">
    <field x="58"/>
    <field x="57"/>
    <field x="4"/>
  </rowFields>
  <rowItems count="18">
    <i>
      <x v="1"/>
    </i>
    <i r="1">
      <x v="12"/>
    </i>
    <i r="2">
      <x v="363"/>
    </i>
    <i r="2">
      <x v="364"/>
    </i>
    <i>
      <x v="2"/>
    </i>
    <i r="1">
      <x v="11"/>
    </i>
    <i r="2">
      <x v="332"/>
    </i>
    <i r="2">
      <x v="333"/>
    </i>
    <i r="2">
      <x v="334"/>
    </i>
    <i r="2">
      <x v="335"/>
    </i>
    <i r="1">
      <x v="12"/>
    </i>
    <i r="2">
      <x v="336"/>
    </i>
    <i r="2">
      <x v="337"/>
    </i>
    <i r="2">
      <x v="338"/>
    </i>
    <i r="2">
      <x v="339"/>
    </i>
    <i r="2">
      <x v="356"/>
    </i>
    <i r="2">
      <x v="358"/>
    </i>
    <i t="grand">
      <x/>
    </i>
  </rowItems>
  <colFields count="1">
    <field x="-2"/>
  </colFields>
  <colItems count="13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</colItems>
  <dataFields count="13">
    <dataField name="CHAMB HT" fld="40" baseField="39" baseItem="10" numFmtId="4"/>
    <dataField name="PDJ. HT" fld="47" baseField="46" baseItem="5" numFmtId="4"/>
    <dataField name="BOISS HT" fld="41" baseField="39" baseItem="10" numFmtId="4"/>
    <dataField name="ALC. HT" fld="42" baseField="46" baseItem="5" numFmtId="4"/>
    <dataField name="RESTO. HT" fld="44" baseField="46" baseItem="5" numFmtId="4"/>
    <dataField name="PARK. HT" fld="43" baseField="46" baseItem="5" numFmtId="4"/>
    <dataField name="PRESG HT" fld="45" baseField="46" baseItem="5" numFmtId="4"/>
    <dataField name="DIV. HT" fld="46" baseField="46" baseItem="5" numFmtId="4"/>
    <dataField name="TOTAL_x000a_FACTURE_x000a_HT" fld="48" baseField="46" baseItem="1" numFmtId="4"/>
    <dataField name="TVA 10%" fld="49" baseField="46" baseItem="5" numFmtId="4"/>
    <dataField name="TVA 20%" fld="50" baseField="46" baseItem="5" numFmtId="4"/>
    <dataField name="TAXE DE SEJOUR" fld="22" baseField="46" baseItem="1" numFmtId="4"/>
    <dataField name="TOTAL_x000a_FACTURE_x000a_TTC" fld="25" baseField="46" baseItem="1" numFmtId="4"/>
  </dataFields>
  <formats count="59">
    <format dxfId="1205">
      <pivotArea dataOnly="0" labelOnly="1" outline="0" fieldPosition="0">
        <references count="1">
          <reference field="4294967294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204">
      <pivotArea type="all" dataOnly="0" outline="0" fieldPosition="0"/>
    </format>
    <format dxfId="1203">
      <pivotArea outline="0" collapsedLevelsAreSubtotals="1" fieldPosition="0"/>
    </format>
    <format dxfId="1202">
      <pivotArea dataOnly="0" labelOnly="1" grandRow="1" outline="0" fieldPosition="0"/>
    </format>
    <format dxfId="1201">
      <pivotArea dataOnly="0" labelOnly="1" outline="0" fieldPosition="0">
        <references count="1">
          <reference field="4294967294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200">
      <pivotArea dataOnly="0" outline="0" fieldPosition="0">
        <references count="1">
          <reference field="4294967294" count="1">
            <x v="8"/>
          </reference>
        </references>
      </pivotArea>
    </format>
    <format dxfId="1199">
      <pivotArea outline="0" collapsedLevelsAreSubtotals="1" fieldPosition="0">
        <references count="1">
          <reference field="4294967294" count="1" selected="0">
            <x v="12"/>
          </reference>
        </references>
      </pivotArea>
    </format>
    <format dxfId="1198">
      <pivotArea dataOnly="0" labelOnly="1" outline="0" fieldPosition="0">
        <references count="1">
          <reference field="4294967294" count="1">
            <x v="12"/>
          </reference>
        </references>
      </pivotArea>
    </format>
    <format dxfId="1197">
      <pivotArea dataOnly="0" labelOnly="1" grandRow="1" outline="0" fieldPosition="0"/>
    </format>
    <format dxfId="1196">
      <pivotArea outline="0" collapsedLevelsAreSubtotals="1" fieldPosition="0">
        <references count="1">
          <reference field="4294967294" count="1" selected="0">
            <x v="8"/>
          </reference>
        </references>
      </pivotArea>
    </format>
    <format dxfId="1195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1194">
      <pivotArea outline="0" collapsedLevelsAreSubtotals="1" fieldPosition="0">
        <references count="1">
          <reference field="4294967294" count="1" selected="0">
            <x v="12"/>
          </reference>
        </references>
      </pivotArea>
    </format>
    <format dxfId="1193">
      <pivotArea dataOnly="0" labelOnly="1" outline="0" fieldPosition="0">
        <references count="1">
          <reference field="4294967294" count="1">
            <x v="12"/>
          </reference>
        </references>
      </pivotArea>
    </format>
    <format dxfId="1192">
      <pivotArea outline="0" collapsedLevelsAreSubtotals="1" fieldPosition="0">
        <references count="1">
          <reference field="4294967294" count="1" selected="0">
            <x v="8"/>
          </reference>
        </references>
      </pivotArea>
    </format>
    <format dxfId="1191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1190">
      <pivotArea outline="0" collapsedLevelsAreSubtotals="1" fieldPosition="0">
        <references count="1">
          <reference field="4294967294" count="1" selected="0">
            <x v="12"/>
          </reference>
        </references>
      </pivotArea>
    </format>
    <format dxfId="1189">
      <pivotArea dataOnly="0" labelOnly="1" outline="0" fieldPosition="0">
        <references count="1">
          <reference field="4294967294" count="1">
            <x v="12"/>
          </reference>
        </references>
      </pivotArea>
    </format>
    <format dxfId="1188">
      <pivotArea outline="0" collapsedLevelsAreSubtotals="1" fieldPosition="0">
        <references count="1">
          <reference field="4294967294" count="1" selected="0">
            <x v="8"/>
          </reference>
        </references>
      </pivotArea>
    </format>
    <format dxfId="1187">
      <pivotArea outline="0" collapsedLevelsAreSubtotals="1" fieldPosition="0">
        <references count="1">
          <reference field="4294967294" count="1" selected="0">
            <x v="12"/>
          </reference>
        </references>
      </pivotArea>
    </format>
    <format dxfId="1186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1185">
      <pivotArea dataOnly="0" labelOnly="1" outline="0" fieldPosition="0">
        <references count="1">
          <reference field="4294967294" count="1">
            <x v="12"/>
          </reference>
        </references>
      </pivotArea>
    </format>
    <format dxfId="1184">
      <pivotArea dataOnly="0" labelOnly="1" outline="0" fieldPosition="0">
        <references count="1">
          <reference field="4294967294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183">
      <pivotArea dataOnly="0" labelOnly="1" grandRow="1" outline="0" fieldPosition="0"/>
    </format>
    <format dxfId="1182">
      <pivotArea dataOnly="0" labelOnly="1" outline="0" fieldPosition="0">
        <references count="1">
          <reference field="4294967294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181">
      <pivotArea dataOnly="0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1180">
      <pivotArea dataOnly="0" grandRow="1" fieldPosition="0"/>
    </format>
    <format dxfId="1179">
      <pivotArea dataOnly="0" outline="0" fieldPosition="0">
        <references count="1">
          <reference field="4294967294" count="3">
            <x v="9"/>
            <x v="10"/>
            <x v="11"/>
          </reference>
        </references>
      </pivotArea>
    </format>
    <format dxfId="1178">
      <pivotArea dataOnly="0" labelOnly="1" outline="0" fieldPosition="0">
        <references count="1">
          <reference field="4294967294" count="3">
            <x v="9"/>
            <x v="10"/>
            <x v="11"/>
          </reference>
        </references>
      </pivotArea>
    </format>
    <format dxfId="1177">
      <pivotArea dataOnly="0" labelOnly="1" outline="0" fieldPosition="0">
        <references count="1">
          <reference field="4294967294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176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1175">
      <pivotArea dataOnly="0" labelOnly="1" outline="0" fieldPosition="0">
        <references count="1">
          <reference field="4294967294" count="3">
            <x v="9"/>
            <x v="10"/>
            <x v="11"/>
          </reference>
        </references>
      </pivotArea>
    </format>
    <format dxfId="1174">
      <pivotArea dataOnly="0" grandRow="1" fieldPosition="0"/>
    </format>
    <format dxfId="1173">
      <pivotArea dataOnly="0" outline="0" fieldPosition="0">
        <references count="1">
          <reference field="4294967294" count="2">
            <x v="8"/>
            <x v="12"/>
          </reference>
        </references>
      </pivotArea>
    </format>
    <format dxfId="1172">
      <pivotArea dataOnly="0" grandRow="1" fieldPosition="0"/>
    </format>
    <format dxfId="1171">
      <pivotArea dataOnly="0" labelOnly="1" outline="0" fieldPosition="0">
        <references count="1">
          <reference field="4294967294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170">
      <pivotArea dataOnly="0" labelOnly="1" outline="0" fieldPosition="0">
        <references count="1">
          <reference field="4294967294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169">
      <pivotArea dataOnly="0" labelOnly="1" outline="0" fieldPosition="0">
        <references count="1">
          <reference field="4294967294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168">
      <pivotArea dataOnly="0" outline="0" fieldPosition="0">
        <references count="1">
          <reference field="4294967294" count="2">
            <x v="8"/>
            <x v="12"/>
          </reference>
        </references>
      </pivotArea>
    </format>
    <format dxfId="1167">
      <pivotArea dataOnly="0" labelOnly="1" outline="0" fieldPosition="0">
        <references count="1">
          <reference field="4294967294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166">
      <pivotArea dataOnly="0" labelOnly="1" outline="0" fieldPosition="0">
        <references count="1">
          <reference field="4294967294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165">
      <pivotArea type="all" dataOnly="0" outline="0" fieldPosition="0"/>
    </format>
    <format dxfId="1164">
      <pivotArea type="all" dataOnly="0" outline="0" fieldPosition="0"/>
    </format>
    <format dxfId="1163">
      <pivotArea dataOnly="0" labelOnly="1" grandRow="1" outline="0" fieldPosition="0"/>
    </format>
    <format dxfId="1162">
      <pivotArea dataOnly="0" labelOnly="1" outline="0" fieldPosition="0">
        <references count="1">
          <reference field="4294967294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161">
      <pivotArea dataOnly="0" labelOnly="1" outline="0" fieldPosition="0">
        <references count="1">
          <reference field="4294967294" count="2">
            <x v="9"/>
            <x v="10"/>
          </reference>
        </references>
      </pivotArea>
    </format>
    <format dxfId="1160">
      <pivotArea outline="0" collapsedLevelsAreSubtotals="1" fieldPosition="0">
        <references count="1">
          <reference field="4294967294" count="1" selected="0">
            <x v="11"/>
          </reference>
        </references>
      </pivotArea>
    </format>
    <format dxfId="1159">
      <pivotArea dataOnly="0" labelOnly="1" outline="0" fieldPosition="0">
        <references count="1">
          <reference field="4294967294" count="1">
            <x v="11"/>
          </reference>
        </references>
      </pivotArea>
    </format>
    <format dxfId="1158">
      <pivotArea outline="0" collapsedLevelsAreSubtotals="1" fieldPosition="0">
        <references count="1">
          <reference field="4294967294" count="1" selected="0">
            <x v="11"/>
          </reference>
        </references>
      </pivotArea>
    </format>
    <format dxfId="1157">
      <pivotArea dataOnly="0" labelOnly="1" outline="0" fieldPosition="0">
        <references count="1">
          <reference field="4294967294" count="1">
            <x v="11"/>
          </reference>
        </references>
      </pivotArea>
    </format>
    <format dxfId="1156">
      <pivotArea dataOnly="0" labelOnly="1" outline="0" fieldPosition="0">
        <references count="1">
          <reference field="4294967294" count="2">
            <x v="9"/>
            <x v="10"/>
          </reference>
        </references>
      </pivotArea>
    </format>
    <format dxfId="1155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1154">
      <pivotArea dataOnly="0" labelOnly="1" outline="0" fieldPosition="0">
        <references count="1">
          <reference field="4294967294" count="2">
            <x v="9"/>
            <x v="10"/>
          </reference>
        </references>
      </pivotArea>
    </format>
    <format dxfId="1153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1152">
      <pivotArea dataOnly="0" outline="0" fieldPosition="0">
        <references count="1">
          <reference field="4294967294" count="2">
            <x v="9"/>
            <x v="10"/>
          </reference>
        </references>
      </pivotArea>
    </format>
    <format dxfId="1151">
      <pivotArea dataOnly="0" labelOnly="1" grandRow="1" outline="0" fieldPosition="0"/>
    </format>
    <format dxfId="1150">
      <pivotArea type="all" dataOnly="0" outline="0" fieldPosition="0"/>
    </format>
    <format dxfId="1149">
      <pivotArea outline="0" collapsedLevelsAreSubtotals="1" fieldPosition="0"/>
    </format>
    <format dxfId="1148">
      <pivotArea dataOnly="0" labelOnly="1" grandRow="1" outline="0" fieldPosition="0"/>
    </format>
    <format dxfId="1147">
      <pivotArea dataOnly="0" labelOnly="1" outline="0" fieldPosition="0">
        <references count="1">
          <reference field="4294967294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</formats>
  <pivotTableStyleInfo name="RECETTE" showRowHeaders="1" showColHeaders="1" showRowStripes="0" showColStripes="0" showLastColumn="1"/>
  <filters count="1">
    <filter fld="0" type="dateBetween" evalOrder="-1" id="6" name="JOUR">
      <autoFilter ref="A1">
        <filterColumn colId="0">
          <customFilters and="1">
            <customFilter operator="greaterThanOrEqual" val="44774"/>
            <customFilter operator="lessThanOrEqual" val="44865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F011FDB-D1CF-4EF6-9C5B-8CF574D3A603}" name="TCD ENCAISSEMENTS" cacheId="8" applyNumberFormats="0" applyBorderFormats="0" applyFontFormats="0" applyPatternFormats="0" applyAlignmentFormats="0" applyWidthHeightFormats="1" dataCaption="Valeurs" grandTotalCaption="TOTAL GENERAL" updatedVersion="7" minRefreshableVersion="3" itemPrintTitles="1" mergeItem="1" createdVersion="8" indent="0" outline="1" outlineData="1" multipleFieldFilters="0" rowHeaderCaption="DATE">
  <location ref="A7:K8" firstHeaderRow="0" firstDataRow="1" firstDataCol="1"/>
  <pivotFields count="59">
    <pivotField numFmtId="166" showAll="0"/>
    <pivotField numFmtId="1" showAll="0"/>
    <pivotField numFmtId="1" showAll="0"/>
    <pivotField numFmtId="165" showAll="0"/>
    <pivotField numFmtId="165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showAll="0" defaultSubtota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x="10"/>
        <item h="1" x="11"/>
        <item h="1" x="12"/>
        <item h="1" x="13"/>
      </items>
    </pivotField>
    <pivotField dataField="1" dragToRow="0" dragToCol="0" dragToPage="0" showAll="0" defaultSubtotal="0"/>
    <pivotField axis="axisRow" showAll="0">
      <items count="15">
        <item x="0"/>
        <item x="1"/>
        <item x="2"/>
        <item x="3"/>
        <item x="4"/>
        <item x="5"/>
        <item x="6"/>
        <item x="7"/>
        <item sd="0" x="8"/>
        <item x="9"/>
        <item x="10"/>
        <item x="11"/>
        <item x="12"/>
        <item x="13"/>
        <item t="default"/>
      </items>
    </pivotField>
    <pivotField axis="axisRow" showAll="0">
      <items count="126">
        <item h="1" x="0"/>
        <item h="1" sd="0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sd="0" x="122"/>
        <item x="123"/>
        <item h="1" x="12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3">
    <field x="56"/>
    <field x="55"/>
    <field x="39"/>
  </rowFields>
  <rowItems count="1">
    <i t="grand">
      <x/>
    </i>
  </rowItems>
  <colFields count="1">
    <field x="-2"/>
  </colFields>
  <colItems count="10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</colItems>
  <dataFields count="10">
    <dataField name="CB" fld="27" baseField="0" baseItem="0"/>
    <dataField name="AMEX." fld="28" baseField="0" baseItem="0"/>
    <dataField name="VAD" fld="29" baseField="0" baseItem="0"/>
    <dataField name="PLBS." fld="30" baseField="0" baseItem="0"/>
    <dataField name="CB SS CTC" fld="31" baseField="0" baseItem="0"/>
    <dataField name="CHQ VAC" fld="32" baseField="0" baseItem="0"/>
    <dataField name="ESP." fld="33" baseField="0" baseItem="0"/>
    <dataField name="CHQ BANQ." fld="34" baseField="0" baseItem="0"/>
    <dataField name="VIRMT." fld="35" baseField="0" baseItem="0"/>
    <dataField name="TOTAL ENCAISSE TTC" fld="54" baseField="0" baseItem="0" numFmtId="4"/>
  </dataFields>
  <formats count="21">
    <format dxfId="1146">
      <pivotArea dataOnly="0" labelOnly="1" fieldPosition="0">
        <references count="1">
          <reference field="39" count="0"/>
        </references>
      </pivotArea>
    </format>
    <format dxfId="1145">
      <pivotArea dataOnly="0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1144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1143">
      <pivotArea outline="0" fieldPosition="0">
        <references count="1">
          <reference field="4294967294" count="1">
            <x v="9"/>
          </reference>
        </references>
      </pivotArea>
    </format>
    <format dxfId="1142">
      <pivotArea dataOnly="0" labelOnly="1" outline="0" fieldPosition="0">
        <references count="1">
          <reference field="4294967294" count="1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1141">
      <pivotArea dataOnly="0" labelOnly="1" outline="0" fieldPosition="0">
        <references count="1">
          <reference field="4294967294" count="1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1140">
      <pivotArea dataOnly="0" labelOnly="1" outline="0" fieldPosition="0">
        <references count="1">
          <reference field="4294967294" count="1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1139">
      <pivotArea type="all" dataOnly="0" outline="0" fieldPosition="0"/>
    </format>
    <format dxfId="1138">
      <pivotArea outline="0" collapsedLevelsAreSubtotals="1" fieldPosition="0"/>
    </format>
    <format dxfId="1137">
      <pivotArea dataOnly="0" labelOnly="1" grandRow="1" outline="0" fieldPosition="0"/>
    </format>
    <format dxfId="1136">
      <pivotArea dataOnly="0" labelOnly="1" outline="0" fieldPosition="0">
        <references count="1">
          <reference field="4294967294" count="1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1135">
      <pivotArea dataOnly="0" labelOnly="1" outline="0" fieldPosition="0">
        <references count="1">
          <reference field="4294967294" count="1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1134">
      <pivotArea dataOnly="0" labelOnly="1" outline="0" fieldPosition="0">
        <references count="1">
          <reference field="4294967294" count="1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1133">
      <pivotArea dataOnly="0" labelOnly="1" outline="0" fieldPosition="0">
        <references count="1">
          <reference field="4294967294" count="1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1132">
      <pivotArea dataOnly="0" labelOnly="1" outline="0" fieldPosition="0">
        <references count="1">
          <reference field="4294967294" count="1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1131">
      <pivotArea dataOnly="0" outline="0" fieldPosition="0">
        <references count="1">
          <reference field="4294967294" count="1">
            <x v="9"/>
          </reference>
        </references>
      </pivotArea>
    </format>
    <format dxfId="1130">
      <pivotArea dataOnly="0" grandRow="1" fieldPosition="0"/>
    </format>
    <format dxfId="1129">
      <pivotArea dataOnly="0" grandRow="1" fieldPosition="0"/>
    </format>
    <format dxfId="1128">
      <pivotArea dataOnly="0" grandRow="1" fieldPosition="0"/>
    </format>
    <format dxfId="1127">
      <pivotArea dataOnly="0" labelOnly="1" grandRow="1" outline="0" fieldPosition="0"/>
    </format>
    <format dxfId="1126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2" xr10:uid="{4E106013-A433-4A67-A76E-59BB8EE6B1A8}" sourceName="Mois2">
  <pivotTables>
    <pivotTable tabId="49" name="TCD ENCAISSEMENTS"/>
  </pivotTables>
  <data>
    <tabular pivotCacheId="732378129">
      <items count="14">
        <i x="11"/>
        <i x="12"/>
        <i x="1" nd="1"/>
        <i x="2" nd="1"/>
        <i x="3" nd="1"/>
        <i x="4" nd="1"/>
        <i x="5" nd="1"/>
        <i x="6" nd="1"/>
        <i x="7" nd="1"/>
        <i x="8" nd="1"/>
        <i x="9" nd="1"/>
        <i x="10" s="1" nd="1"/>
        <i x="0" nd="1"/>
        <i x="13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2" xr10:uid="{408834C0-D627-4702-B158-DABBF7A958EA}" sourceName="Années2">
  <pivotTables>
    <pivotTable tabId="49" name="TCD ENCAISSEMENTS"/>
  </pivotTables>
  <data>
    <tabular pivotCacheId="732378129">
      <items count="125">
        <i x="0" nd="1"/>
        <i x="124" nd="1"/>
        <i x="1" nd="1"/>
        <i x="2" nd="1"/>
        <i x="3" nd="1"/>
        <i x="4" nd="1"/>
        <i x="5" nd="1"/>
        <i x="6" nd="1"/>
        <i x="7" nd="1"/>
        <i x="8" nd="1"/>
        <i x="9" nd="1"/>
        <i x="10" nd="1"/>
        <i x="11" nd="1"/>
        <i x="12" nd="1"/>
        <i x="13" nd="1"/>
        <i x="14" nd="1"/>
        <i x="15" nd="1"/>
        <i x="16" nd="1"/>
        <i x="17" nd="1"/>
        <i x="18" nd="1"/>
        <i x="19" nd="1"/>
        <i x="20" nd="1"/>
        <i x="21" nd="1"/>
        <i x="22" nd="1"/>
        <i x="23" nd="1"/>
        <i x="24" nd="1"/>
        <i x="25" nd="1"/>
        <i x="26" nd="1"/>
        <i x="27" nd="1"/>
        <i x="28" nd="1"/>
        <i x="29" nd="1"/>
        <i x="30" nd="1"/>
        <i x="31" nd="1"/>
        <i x="32" nd="1"/>
        <i x="33" nd="1"/>
        <i x="34" nd="1"/>
        <i x="35" nd="1"/>
        <i x="36" nd="1"/>
        <i x="37" nd="1"/>
        <i x="38" nd="1"/>
        <i x="39" nd="1"/>
        <i x="40" nd="1"/>
        <i x="41" nd="1"/>
        <i x="42" nd="1"/>
        <i x="43" nd="1"/>
        <i x="44" nd="1"/>
        <i x="45" nd="1"/>
        <i x="46" nd="1"/>
        <i x="47" nd="1"/>
        <i x="48" nd="1"/>
        <i x="49" nd="1"/>
        <i x="50" nd="1"/>
        <i x="51" nd="1"/>
        <i x="52" nd="1"/>
        <i x="53" nd="1"/>
        <i x="54" nd="1"/>
        <i x="55" nd="1"/>
        <i x="56" nd="1"/>
        <i x="57" nd="1"/>
        <i x="58" nd="1"/>
        <i x="59" nd="1"/>
        <i x="60" nd="1"/>
        <i x="61" nd="1"/>
        <i x="62" nd="1"/>
        <i x="63" nd="1"/>
        <i x="64" nd="1"/>
        <i x="65" nd="1"/>
        <i x="66" nd="1"/>
        <i x="67" nd="1"/>
        <i x="68" nd="1"/>
        <i x="69" nd="1"/>
        <i x="70" nd="1"/>
        <i x="71" nd="1"/>
        <i x="72" nd="1"/>
        <i x="73" nd="1"/>
        <i x="74" nd="1"/>
        <i x="75" nd="1"/>
        <i x="76" nd="1"/>
        <i x="77" nd="1"/>
        <i x="78" nd="1"/>
        <i x="79" nd="1"/>
        <i x="80" nd="1"/>
        <i x="81" nd="1"/>
        <i x="82" nd="1"/>
        <i x="83" nd="1"/>
        <i x="84" nd="1"/>
        <i x="85" nd="1"/>
        <i x="86" nd="1"/>
        <i x="87" nd="1"/>
        <i x="88" nd="1"/>
        <i x="89" nd="1"/>
        <i x="90" nd="1"/>
        <i x="91" nd="1"/>
        <i x="92" nd="1"/>
        <i x="93" nd="1"/>
        <i x="94" nd="1"/>
        <i x="95" nd="1"/>
        <i x="96" nd="1"/>
        <i x="97" nd="1"/>
        <i x="98" nd="1"/>
        <i x="99" nd="1"/>
        <i x="100" nd="1"/>
        <i x="101" nd="1"/>
        <i x="102" nd="1"/>
        <i x="103" nd="1"/>
        <i x="104" nd="1"/>
        <i x="105" nd="1"/>
        <i x="106" nd="1"/>
        <i x="107" nd="1"/>
        <i x="108" nd="1"/>
        <i x="109" nd="1"/>
        <i x="110" nd="1"/>
        <i x="111" nd="1"/>
        <i x="112" nd="1"/>
        <i x="113" nd="1"/>
        <i x="114" nd="1"/>
        <i x="115" nd="1"/>
        <i x="116" nd="1"/>
        <i x="117" nd="1"/>
        <i x="118" nd="1"/>
        <i x="119" nd="1"/>
        <i x="120" nd="1"/>
        <i x="121" nd="1"/>
        <i x="122" nd="1"/>
        <i x="123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PART" xr10:uid="{4AE49E69-AAB0-4309-9D63-00C152A5F161}" sourceName="DEPART">
  <pivotTables>
    <pivotTable tabId="41" name="TCD_RECETTES"/>
  </pivotTables>
  <data>
    <tabular pivotCacheId="732378129" crossFilter="showItemsWithNoData">
      <items count="368">
        <i x="0" s="1" nd="1"/>
        <i x="367" s="1" nd="1"/>
        <i x="214" s="1" nd="1"/>
        <i x="92" s="1" nd="1"/>
        <i x="336" s="1"/>
        <i x="32" s="1" nd="1"/>
        <i x="1" s="1" nd="1"/>
        <i x="183" s="1" nd="1"/>
        <i x="153" s="1" nd="1"/>
        <i x="122" s="1" nd="1"/>
        <i x="61" s="1" nd="1"/>
        <i x="306" s="1" nd="1"/>
        <i x="275" s="1" nd="1"/>
        <i x="245" s="1" nd="1"/>
        <i x="215" s="1" nd="1"/>
        <i x="93" s="1" nd="1"/>
        <i x="337" s="1"/>
        <i x="33" s="1" nd="1"/>
        <i x="2" s="1" nd="1"/>
        <i x="184" s="1" nd="1"/>
        <i x="154" s="1" nd="1"/>
        <i x="123" s="1" nd="1"/>
        <i x="62" s="1" nd="1"/>
        <i x="307" s="1" nd="1"/>
        <i x="276" s="1" nd="1"/>
        <i x="246" s="1" nd="1"/>
        <i x="216" s="1" nd="1"/>
        <i x="94" s="1" nd="1"/>
        <i x="338" s="1"/>
        <i x="34" s="1" nd="1"/>
        <i x="3" s="1" nd="1"/>
        <i x="185" s="1" nd="1"/>
        <i x="155" s="1" nd="1"/>
        <i x="124" s="1" nd="1"/>
        <i x="63" s="1" nd="1"/>
        <i x="308" s="1" nd="1"/>
        <i x="277" s="1" nd="1"/>
        <i x="247" s="1" nd="1"/>
        <i x="217" s="1" nd="1"/>
        <i x="95" s="1" nd="1"/>
        <i x="339" s="1"/>
        <i x="35" s="1" nd="1"/>
        <i x="4" s="1" nd="1"/>
        <i x="186" s="1" nd="1"/>
        <i x="156" s="1" nd="1"/>
        <i x="125" s="1" nd="1"/>
        <i x="64" s="1" nd="1"/>
        <i x="309" s="1" nd="1"/>
        <i x="278" s="1" nd="1"/>
        <i x="248" s="1" nd="1"/>
        <i x="218" s="1" nd="1"/>
        <i x="96" s="1" nd="1"/>
        <i x="340" s="1" nd="1"/>
        <i x="36" s="1" nd="1"/>
        <i x="5" s="1" nd="1"/>
        <i x="187" s="1" nd="1"/>
        <i x="157" s="1" nd="1"/>
        <i x="126" s="1" nd="1"/>
        <i x="65" s="1" nd="1"/>
        <i x="310" s="1" nd="1"/>
        <i x="279" s="1" nd="1"/>
        <i x="249" s="1" nd="1"/>
        <i x="219" s="1" nd="1"/>
        <i x="97" s="1" nd="1"/>
        <i x="341" s="1" nd="1"/>
        <i x="37" s="1" nd="1"/>
        <i x="6" s="1" nd="1"/>
        <i x="188" s="1" nd="1"/>
        <i x="158" s="1" nd="1"/>
        <i x="127" s="1" nd="1"/>
        <i x="66" s="1" nd="1"/>
        <i x="311" s="1" nd="1"/>
        <i x="280" s="1" nd="1"/>
        <i x="250" s="1" nd="1"/>
        <i x="220" s="1" nd="1"/>
        <i x="98" s="1" nd="1"/>
        <i x="342" s="1" nd="1"/>
        <i x="38" s="1" nd="1"/>
        <i x="7" s="1" nd="1"/>
        <i x="189" s="1" nd="1"/>
        <i x="159" s="1" nd="1"/>
        <i x="128" s="1" nd="1"/>
        <i x="67" s="1" nd="1"/>
        <i x="312" s="1" nd="1"/>
        <i x="281" s="1" nd="1"/>
        <i x="251" s="1" nd="1"/>
        <i x="221" s="1" nd="1"/>
        <i x="99" s="1" nd="1"/>
        <i x="343" s="1" nd="1"/>
        <i x="39" s="1" nd="1"/>
        <i x="8" s="1" nd="1"/>
        <i x="190" s="1" nd="1"/>
        <i x="160" s="1" nd="1"/>
        <i x="129" s="1" nd="1"/>
        <i x="68" s="1" nd="1"/>
        <i x="313" s="1" nd="1"/>
        <i x="282" s="1" nd="1"/>
        <i x="252" s="1" nd="1"/>
        <i x="222" s="1" nd="1"/>
        <i x="100" s="1" nd="1"/>
        <i x="344" s="1" nd="1"/>
        <i x="40" s="1" nd="1"/>
        <i x="9" s="1" nd="1"/>
        <i x="191" s="1" nd="1"/>
        <i x="161" s="1" nd="1"/>
        <i x="130" s="1" nd="1"/>
        <i x="69" s="1" nd="1"/>
        <i x="314" s="1" nd="1"/>
        <i x="283" s="1" nd="1"/>
        <i x="253" s="1" nd="1"/>
        <i x="223" s="1" nd="1"/>
        <i x="101" s="1" nd="1"/>
        <i x="345" s="1" nd="1"/>
        <i x="41" s="1" nd="1"/>
        <i x="10" s="1" nd="1"/>
        <i x="192" s="1" nd="1"/>
        <i x="162" s="1" nd="1"/>
        <i x="131" s="1" nd="1"/>
        <i x="70" s="1" nd="1"/>
        <i x="315" s="1" nd="1"/>
        <i x="284" s="1" nd="1"/>
        <i x="254" s="1" nd="1"/>
        <i x="224" s="1" nd="1"/>
        <i x="102" s="1" nd="1"/>
        <i x="346" s="1" nd="1"/>
        <i x="42" s="1" nd="1"/>
        <i x="11" s="1" nd="1"/>
        <i x="193" s="1" nd="1"/>
        <i x="163" s="1" nd="1"/>
        <i x="132" s="1" nd="1"/>
        <i x="71" s="1" nd="1"/>
        <i x="316" s="1" nd="1"/>
        <i x="285" s="1" nd="1"/>
        <i x="255" s="1" nd="1"/>
        <i x="225" s="1" nd="1"/>
        <i x="103" s="1" nd="1"/>
        <i x="347" s="1" nd="1"/>
        <i x="43" s="1" nd="1"/>
        <i x="12" s="1" nd="1"/>
        <i x="194" s="1" nd="1"/>
        <i x="164" s="1" nd="1"/>
        <i x="133" s="1" nd="1"/>
        <i x="72" s="1" nd="1"/>
        <i x="317" s="1" nd="1"/>
        <i x="286" s="1" nd="1"/>
        <i x="256" s="1" nd="1"/>
        <i x="226" s="1" nd="1"/>
        <i x="104" s="1" nd="1"/>
        <i x="348" s="1" nd="1"/>
        <i x="44" s="1" nd="1"/>
        <i x="13" s="1" nd="1"/>
        <i x="195" s="1" nd="1"/>
        <i x="165" s="1" nd="1"/>
        <i x="134" s="1" nd="1"/>
        <i x="73" s="1" nd="1"/>
        <i x="318" s="1" nd="1"/>
        <i x="287" s="1" nd="1"/>
        <i x="257" s="1" nd="1"/>
        <i x="227" s="1" nd="1"/>
        <i x="105" s="1" nd="1"/>
        <i x="349" s="1" nd="1"/>
        <i x="45" s="1" nd="1"/>
        <i x="14" s="1" nd="1"/>
        <i x="196" s="1" nd="1"/>
        <i x="166" s="1" nd="1"/>
        <i x="135" s="1" nd="1"/>
        <i x="74" s="1" nd="1"/>
        <i x="319" s="1" nd="1"/>
        <i x="288" s="1" nd="1"/>
        <i x="258" s="1" nd="1"/>
        <i x="228" s="1" nd="1"/>
        <i x="106" s="1" nd="1"/>
        <i x="350" s="1" nd="1"/>
        <i x="46" s="1" nd="1"/>
        <i x="15" s="1" nd="1"/>
        <i x="197" s="1" nd="1"/>
        <i x="167" s="1" nd="1"/>
        <i x="136" s="1" nd="1"/>
        <i x="75" s="1" nd="1"/>
        <i x="320" s="1" nd="1"/>
        <i x="289" s="1" nd="1"/>
        <i x="259" s="1" nd="1"/>
        <i x="229" s="1" nd="1"/>
        <i x="107" s="1" nd="1"/>
        <i x="351" s="1" nd="1"/>
        <i x="47" s="1" nd="1"/>
        <i x="16" s="1" nd="1"/>
        <i x="198" s="1" nd="1"/>
        <i x="168" s="1" nd="1"/>
        <i x="137" s="1" nd="1"/>
        <i x="76" s="1" nd="1"/>
        <i x="321" s="1" nd="1"/>
        <i x="290" s="1" nd="1"/>
        <i x="260" s="1" nd="1"/>
        <i x="230" s="1" nd="1"/>
        <i x="108" s="1" nd="1"/>
        <i x="352" s="1" nd="1"/>
        <i x="48" s="1" nd="1"/>
        <i x="17" s="1" nd="1"/>
        <i x="199" s="1" nd="1"/>
        <i x="169" s="1" nd="1"/>
        <i x="138" s="1" nd="1"/>
        <i x="77" s="1" nd="1"/>
        <i x="322" s="1" nd="1"/>
        <i x="291" s="1" nd="1"/>
        <i x="261" s="1" nd="1"/>
        <i x="231" s="1" nd="1"/>
        <i x="109" s="1" nd="1"/>
        <i x="353" s="1" nd="1"/>
        <i x="49" s="1" nd="1"/>
        <i x="18" s="1" nd="1"/>
        <i x="200" s="1" nd="1"/>
        <i x="170" s="1" nd="1"/>
        <i x="139" s="1" nd="1"/>
        <i x="78" s="1" nd="1"/>
        <i x="323" s="1" nd="1"/>
        <i x="292" s="1" nd="1"/>
        <i x="262" s="1" nd="1"/>
        <i x="232" s="1" nd="1"/>
        <i x="110" s="1" nd="1"/>
        <i x="354" s="1" nd="1"/>
        <i x="50" s="1" nd="1"/>
        <i x="19" s="1" nd="1"/>
        <i x="201" s="1" nd="1"/>
        <i x="171" s="1" nd="1"/>
        <i x="140" s="1" nd="1"/>
        <i x="79" s="1" nd="1"/>
        <i x="324" s="1" nd="1"/>
        <i x="293" s="1" nd="1"/>
        <i x="263" s="1" nd="1"/>
        <i x="233" s="1" nd="1"/>
        <i x="111" s="1" nd="1"/>
        <i x="355" s="1" nd="1"/>
        <i x="51" s="1" nd="1"/>
        <i x="20" s="1" nd="1"/>
        <i x="202" s="1" nd="1"/>
        <i x="172" s="1" nd="1"/>
        <i x="141" s="1" nd="1"/>
        <i x="80" s="1" nd="1"/>
        <i x="325" s="1" nd="1"/>
        <i x="294" s="1" nd="1"/>
        <i x="264" s="1" nd="1"/>
        <i x="234" s="1" nd="1"/>
        <i x="112" s="1" nd="1"/>
        <i x="356" s="1"/>
        <i x="52" s="1" nd="1"/>
        <i x="21" s="1" nd="1"/>
        <i x="203" s="1" nd="1"/>
        <i x="173" s="1" nd="1"/>
        <i x="142" s="1" nd="1"/>
        <i x="81" s="1" nd="1"/>
        <i x="326" s="1" nd="1"/>
        <i x="295" s="1" nd="1"/>
        <i x="265" s="1" nd="1"/>
        <i x="235" s="1" nd="1"/>
        <i x="113" s="1" nd="1"/>
        <i x="357" s="1" nd="1"/>
        <i x="53" s="1" nd="1"/>
        <i x="22" s="1" nd="1"/>
        <i x="204" s="1" nd="1"/>
        <i x="174" s="1" nd="1"/>
        <i x="143" s="1" nd="1"/>
        <i x="82" s="1" nd="1"/>
        <i x="327" s="1" nd="1"/>
        <i x="296" s="1" nd="1"/>
        <i x="266" s="1" nd="1"/>
        <i x="236" s="1" nd="1"/>
        <i x="114" s="1" nd="1"/>
        <i x="358" s="1"/>
        <i x="54" s="1" nd="1"/>
        <i x="23" s="1" nd="1"/>
        <i x="205" s="1" nd="1"/>
        <i x="175" s="1" nd="1"/>
        <i x="144" s="1" nd="1"/>
        <i x="83" s="1" nd="1"/>
        <i x="328" s="1" nd="1"/>
        <i x="297" s="1" nd="1"/>
        <i x="267" s="1" nd="1"/>
        <i x="237" s="1" nd="1"/>
        <i x="115" s="1" nd="1"/>
        <i x="359" s="1" nd="1"/>
        <i x="55" s="1" nd="1"/>
        <i x="24" s="1" nd="1"/>
        <i x="206" s="1" nd="1"/>
        <i x="176" s="1" nd="1"/>
        <i x="145" s="1" nd="1"/>
        <i x="84" s="1" nd="1"/>
        <i x="329" s="1" nd="1"/>
        <i x="298" s="1" nd="1"/>
        <i x="268" s="1" nd="1"/>
        <i x="238" s="1" nd="1"/>
        <i x="116" s="1" nd="1"/>
        <i x="360" s="1" nd="1"/>
        <i x="56" s="1" nd="1"/>
        <i x="25" s="1" nd="1"/>
        <i x="207" s="1" nd="1"/>
        <i x="177" s="1" nd="1"/>
        <i x="146" s="1" nd="1"/>
        <i x="85" s="1" nd="1"/>
        <i x="330" s="1" nd="1"/>
        <i x="299" s="1" nd="1"/>
        <i x="269" s="1" nd="1"/>
        <i x="239" s="1" nd="1"/>
        <i x="117" s="1" nd="1"/>
        <i x="361" s="1" nd="1"/>
        <i x="57" s="1" nd="1"/>
        <i x="26" s="1" nd="1"/>
        <i x="208" s="1" nd="1"/>
        <i x="178" s="1" nd="1"/>
        <i x="147" s="1" nd="1"/>
        <i x="86" s="1" nd="1"/>
        <i x="331" s="1" nd="1"/>
        <i x="300" s="1" nd="1"/>
        <i x="270" s="1" nd="1"/>
        <i x="240" s="1" nd="1"/>
        <i x="118" s="1" nd="1"/>
        <i x="362" s="1" nd="1"/>
        <i x="58" s="1" nd="1"/>
        <i x="27" s="1" nd="1"/>
        <i x="209" s="1" nd="1"/>
        <i x="179" s="1" nd="1"/>
        <i x="148" s="1" nd="1"/>
        <i x="87" s="1" nd="1"/>
        <i x="332" s="1"/>
        <i x="301" s="1" nd="1"/>
        <i x="271" s="1" nd="1"/>
        <i x="241" s="1" nd="1"/>
        <i x="119" s="1" nd="1"/>
        <i x="363" s="1"/>
        <i x="59" s="1" nd="1"/>
        <i x="28" s="1" nd="1"/>
        <i x="210" s="1" nd="1"/>
        <i x="180" s="1" nd="1"/>
        <i x="149" s="1" nd="1"/>
        <i x="88" s="1" nd="1"/>
        <i x="333" s="1"/>
        <i x="302" s="1" nd="1"/>
        <i x="272" s="1" nd="1"/>
        <i x="242" s="1" nd="1"/>
        <i x="120" s="1" nd="1"/>
        <i x="364" s="1"/>
        <i x="60" s="1" nd="1"/>
        <i x="29" s="1" nd="1"/>
        <i x="211" s="1" nd="1"/>
        <i x="181" s="1" nd="1"/>
        <i x="150" s="1" nd="1"/>
        <i x="89" s="1" nd="1"/>
        <i x="334" s="1"/>
        <i x="303" s="1" nd="1"/>
        <i x="273" s="1" nd="1"/>
        <i x="243" s="1" nd="1"/>
        <i x="121" s="1" nd="1"/>
        <i x="365" s="1" nd="1"/>
        <i x="30" s="1" nd="1"/>
        <i x="212" s="1" nd="1"/>
        <i x="182" s="1" nd="1"/>
        <i x="151" s="1" nd="1"/>
        <i x="90" s="1" nd="1"/>
        <i x="335" s="1"/>
        <i x="304" s="1" nd="1"/>
        <i x="274" s="1" nd="1"/>
        <i x="244" s="1" nd="1"/>
        <i x="366" s="1" nd="1"/>
        <i x="31" s="1" nd="1"/>
        <i x="213" s="1" nd="1"/>
        <i x="152" s="1" nd="1"/>
        <i x="91" s="1" nd="1"/>
        <i x="305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PART 1" xr10:uid="{A22006A4-564F-4DEF-958F-2D2F94F5D298}" cache="Segment_DEPART" caption="DEPART" columnCount="2" rowHeight="230716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2" xr10:uid="{E8518D49-085B-47B1-897C-3F9E9B8204C9}" cache="Segment_Mois2" caption="Mois2" startItem="4" rowHeight="230716"/>
  <slicer name="Années2" xr10:uid="{19F38D30-4B9B-4E2A-A8AB-92E15C0CB884}" cache="Segment_Années2" caption="Années2" rowHeight="230716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AC85AC5-DA2B-49E4-BFB2-3EE4A27F3011}" name="DONNEES" displayName="DONNEES" ref="A3:AN133" totalsRowCount="1" headerRowDxfId="1289" dataDxfId="1287" headerRowBorderDxfId="1288" tableBorderDxfId="1286" totalsRowBorderDxfId="1285">
  <autoFilter ref="A3:AN132" xr:uid="{34CA0107-0916-4B2C-8F17-B1DBF2389A8E}"/>
  <sortState xmlns:xlrd2="http://schemas.microsoft.com/office/spreadsheetml/2017/richdata2" ref="A4:AN81">
    <sortCondition ref="E3:E81"/>
  </sortState>
  <tableColumns count="40">
    <tableColumn id="44" xr3:uid="{73C25B4A-CE5E-49D9-9911-C4505A9F078E}" name="JOUR" dataDxfId="1284" totalsRowDxfId="1283">
      <calculatedColumnFormula>DONNEES[[#This Row],[AM]]</calculatedColumnFormula>
    </tableColumn>
    <tableColumn id="45" xr3:uid="{971FBA70-CB6B-4561-8472-B03FB1D1E9E5}" name="NUM JOUR" dataDxfId="1282" totalsRowDxfId="1281">
      <calculatedColumnFormula>WEEKDAY(DONNEES[[#This Row],[JOUR]],2)</calculatedColumnFormula>
    </tableColumn>
    <tableColumn id="3" xr3:uid="{BAE64386-237A-436B-A57D-D7FD2A78A9FE}" name="NUM SEM AM" dataDxfId="1280" totalsRowDxfId="1279">
      <calculatedColumnFormula>_xlfn.ISOWEEKNUM(DONNEES[[#This Row],[AM]]-1)</calculatedColumnFormula>
    </tableColumn>
    <tableColumn id="1" xr3:uid="{4FF51DE2-54CA-4101-8500-E1FF489B7D14}" name="AM" dataDxfId="1278" totalsRowDxfId="1277"/>
    <tableColumn id="2" xr3:uid="{EFB5E2E5-DCD9-4C6E-86DE-A748CF828300}" name="DEPART" dataDxfId="632" totalsRowDxfId="1276">
      <calculatedColumnFormula>DONNEES[[#This Row],[AM]]+1</calculatedColumnFormula>
    </tableColumn>
    <tableColumn id="4" xr3:uid="{5A74949D-6128-4923-A3BA-8608FF9BA48C}" name="DEP_x000a_REC" dataDxfId="1275" totalsRowDxfId="1274"/>
    <tableColumn id="5" xr3:uid="{673B25D5-63DE-4031-94F7-5A9A208427C6}" name="#" dataDxfId="1273" totalsRowDxfId="1272"/>
    <tableColumn id="6" xr3:uid="{CA7814F1-194D-4D49-BB8D-5374AC3AAE29}" name="PERS" totalsRowFunction="sum" dataDxfId="1271" totalsRowDxfId="1270"/>
    <tableColumn id="7" xr3:uid="{2BE6E098-9867-4F51-AA46-2CB4FA140C12}" name="NOM" dataDxfId="1269" totalsRowDxfId="1268"/>
    <tableColumn id="8" xr3:uid="{B0EB4B34-8AC9-483F-B213-8BE31A5C2DB4}" name="RESA" totalsRowFunction="count" dataDxfId="1267" totalsRowDxfId="1266"/>
    <tableColumn id="9" xr3:uid="{3D4A1AA0-7849-42B8-947A-C1AA2B34A119}" name="CH" totalsRowFunction="average" dataDxfId="1265" totalsRowDxfId="1264"/>
    <tableColumn id="11" xr3:uid="{CFFAAD5E-2535-4F09-BCD8-0EFD6908B893}" name="NB PDJ" totalsRowFunction="count" dataDxfId="1263" totalsRowDxfId="1262"/>
    <tableColumn id="10" xr3:uid="{57512350-4B0B-49AE-9CE3-FD941D873182}" name="PARK" totalsRowFunction="count" dataDxfId="1261" totalsRowDxfId="1260"/>
    <tableColumn id="12" xr3:uid="{FAA6A261-74E1-4DEC-A51F-1970F60B4848}" name="EXTRA" totalsRowFunction="sum" dataDxfId="1259" totalsRowDxfId="1258"/>
    <tableColumn id="13" xr3:uid="{9E54EF5A-B564-46A2-B7EC-48FBEC0646A5}" name="CHAMB." totalsRowFunction="sum" dataDxfId="1257" totalsRowDxfId="1256"/>
    <tableColumn id="14" xr3:uid="{CD7BB20E-98A2-4FCD-B872-52A1E826DE75}" name="PDJ" totalsRowFunction="sum" dataDxfId="1255" totalsRowDxfId="1254"/>
    <tableColumn id="15" xr3:uid="{F71F3AAE-8FDD-45F6-8541-905EFB2C9EE1}" name="BOISS" totalsRowFunction="sum" dataDxfId="1253" totalsRowDxfId="1252"/>
    <tableColumn id="16" xr3:uid="{4FC1A561-0DA7-4C47-A443-1A74E28CC76A}" name="ALC" totalsRowFunction="sum" dataDxfId="1251" totalsRowDxfId="1250"/>
    <tableColumn id="17" xr3:uid="{7A1ED9E4-8274-4C7A-9DCA-C89007F19856}" name="RESTO" totalsRowFunction="sum" dataDxfId="1249" totalsRowDxfId="1248"/>
    <tableColumn id="18" xr3:uid="{F49D4C0E-5EBA-45F8-8EA5-5620ABB945D9}" name="PKG" totalsRowFunction="sum" dataDxfId="1247" totalsRowDxfId="1246"/>
    <tableColumn id="19" xr3:uid="{B076E8E5-9DC2-4A05-9FE9-DCCA0CB71B25}" name="PRESG" totalsRowFunction="sum" dataDxfId="1245" totalsRowDxfId="1244"/>
    <tableColumn id="20" xr3:uid="{3A8288DE-9C8C-4BC0-9EE8-DD1CBCC16E36}" name="DIV" totalsRowFunction="sum" dataDxfId="1243" totalsRowDxfId="1242"/>
    <tableColumn id="21" xr3:uid="{A254ACAF-7304-45EA-847B-83D5D0F713F1}" name="TS" totalsRowFunction="sum" dataDxfId="1241" totalsRowDxfId="1240"/>
    <tableColumn id="22" xr3:uid="{5865191B-6540-465F-8004-56AE573A8C5B}" name="ACPTE RECU" dataDxfId="1239" totalsRowDxfId="1238"/>
    <tableColumn id="23" xr3:uid="{D8CD2B58-38EB-4661-AB36-1DF2D56859F3}" name="ACPTE RENDU" dataDxfId="1237" totalsRowDxfId="1236"/>
    <tableColumn id="24" xr3:uid="{8ADC96C0-979A-45A1-A52D-4C7A4F219ADF}" name="TOTAL TTC FACTURE" totalsRowFunction="sum" dataDxfId="1235" totalsRowDxfId="1234">
      <calculatedColumnFormula>IF(SUM(O4:W4)=0,IF(DONNEES[[#This Row],[ACPTE RECU]]-DONNEES[[#This Row],[ACPTE RENDU]]=0,"",DONNEES[[#This Row],[ACPTE RECU]]-DONNEES[[#This Row],[ACPTE RENDU]]),SUM(O4:W4)+DONNEES[[#This Row],[ACPTE RECU]]-DONNEES[[#This Row],[ACPTE RENDU]])</calculatedColumnFormula>
    </tableColumn>
    <tableColumn id="36" xr3:uid="{69E06839-C9D5-4BA5-89A9-AA791D71B843}" name="DATE_x000a_PAIEMT" dataDxfId="1233" totalsRowDxfId="1232">
      <calculatedColumnFormula>IF(DONNEES[[#This Row],[DEP
REC]]="D",DONNEES[[#This Row],[DEPART]],"")</calculatedColumnFormula>
    </tableColumn>
    <tableColumn id="27" xr3:uid="{2B7BBDBB-4A26-4DDE-87B6-AE4283CD5BF7}" name="CB_x000a_EMV" totalsRowFunction="sum" dataDxfId="1231" totalsRowDxfId="1230"/>
    <tableColumn id="30" xr3:uid="{844DBAD7-9450-4664-BD6E-FA1A8E0C35A5}" name="AMEX" totalsRowFunction="sum" dataDxfId="1229" totalsRowDxfId="1228"/>
    <tableColumn id="28" xr3:uid="{B6C08F31-9F90-4C47-BC8F-92B6AC14A919}" name="CB_x000a_VAD" totalsRowFunction="sum" dataDxfId="1227" totalsRowDxfId="1226"/>
    <tableColumn id="37" xr3:uid="{C8A225CE-8C79-4576-AB09-E7C491C3F95D}" name="PLBS" totalsRowFunction="sum" dataDxfId="1225" totalsRowDxfId="1224"/>
    <tableColumn id="29" xr3:uid="{49A7E908-BE34-4F56-826F-11860E6A7484}" name="CB_x000a_SS CTC" totalsRowFunction="sum" dataDxfId="1223" totalsRowDxfId="1222"/>
    <tableColumn id="26" xr3:uid="{62D59A3A-C453-44D7-8963-E2C318F37D45}" name="CHQ VAC." totalsRowFunction="sum" dataDxfId="1221" totalsRowDxfId="1220"/>
    <tableColumn id="31" xr3:uid="{95ADE35E-7EC8-4226-9D18-0086F9940A90}" name="ESPECES" totalsRowFunction="sum" dataDxfId="1219" totalsRowDxfId="1218"/>
    <tableColumn id="25" xr3:uid="{81E43934-E1A0-46B6-B19F-8F95AE87D6C8}" name="CHQ BANCAIRE" totalsRowFunction="sum" dataDxfId="1217" totalsRowDxfId="1216"/>
    <tableColumn id="32" xr3:uid="{26EFFA16-0DC0-447F-BACF-6541F97469DC}" name="VIRMT" totalsRowFunction="sum" dataDxfId="1215" totalsRowDxfId="1214"/>
    <tableColumn id="33" xr3:uid="{8C5C41C9-5D86-43C3-B599-A7DD9E55543D}" name="TOTAL TTC ENCAISSE" totalsRowFunction="sum" dataDxfId="1213" totalsRowDxfId="1212">
      <calculatedColumnFormula>IF(SUM(AB4:AJ4)=0,"",SUM(AB4:AJ4))</calculatedColumnFormula>
    </tableColumn>
    <tableColumn id="34" xr3:uid="{B66063A9-DE67-4920-B1F0-EC0AB327FD43}" name="DIFFERE_x000a_RECU" totalsRowFunction="sum" dataDxfId="1211" totalsRowDxfId="1210"/>
    <tableColumn id="35" xr3:uid="{82027046-A195-40C2-B080-F4DB7D1CBB84}" name="DIFFERE_x000a_ATTENTE" totalsRowFunction="sum" dataDxfId="1209" totalsRowDxfId="1208">
      <calculatedColumnFormula>IF(DONNEES[[#This Row],[TOTAL TTC FACTURE]]=DONNEES[[#This Row],[TOTAL TTC ENCAISSE]],"",IF(DONNEES[[#This Row],[TOTAL TTC FACTURE]]="",0,DONNEES[[#This Row],[TOTAL TTC FACTURE]])-IF(DONNEES[[#This Row],[TOTAL TTC ENCAISSE]]="",0,DONNEES[[#This Row],[TOTAL TTC ENCAISSE]]))</calculatedColumnFormula>
    </tableColumn>
    <tableColumn id="39" xr3:uid="{9698E0E7-7B35-464F-A772-4B675B9453EC}" name="DATE PAIE" dataDxfId="1207" totalsRowDxfId="1206">
      <calculatedColumnFormula>IF(DONNEES[[#This Row],[DATE
PAIEMT]]="",0,DONNEES[[#This Row],[DATE
PAIEMT]])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22403-99EF-4DA6-80B7-BF0B29773923}">
  <sheetPr codeName="Feuil35">
    <pageSetUpPr fitToPage="1"/>
  </sheetPr>
  <dimension ref="A1:AO161"/>
  <sheetViews>
    <sheetView zoomScale="85" zoomScaleNormal="85" workbookViewId="0">
      <pane xSplit="9" ySplit="3" topLeftCell="J4" activePane="bottomRight" state="frozen"/>
      <selection pane="topRight" activeCell="J1" sqref="J1"/>
      <selection pane="bottomLeft" activeCell="A4" sqref="A4"/>
      <selection pane="bottomRight" activeCell="E4" sqref="E4:E132"/>
    </sheetView>
  </sheetViews>
  <sheetFormatPr baseColWidth="10" defaultColWidth="11.5546875" defaultRowHeight="13.8" outlineLevelCol="1" x14ac:dyDescent="0.25"/>
  <cols>
    <col min="1" max="1" width="5" style="6" customWidth="1" outlineLevel="1"/>
    <col min="2" max="3" width="5.109375" style="6" customWidth="1" outlineLevel="1"/>
    <col min="4" max="5" width="7.77734375" style="6" customWidth="1"/>
    <col min="6" max="8" width="5" style="6" customWidth="1" outlineLevel="1"/>
    <col min="9" max="9" width="21.21875" style="6" bestFit="1" customWidth="1"/>
    <col min="10" max="10" width="6.6640625" style="6" customWidth="1"/>
    <col min="11" max="11" width="8.109375" style="6" customWidth="1"/>
    <col min="12" max="12" width="4.44140625" customWidth="1"/>
    <col min="13" max="13" width="4.44140625" style="6" customWidth="1" collapsed="1"/>
    <col min="14" max="14" width="6.33203125" style="5" customWidth="1"/>
    <col min="15" max="24" width="9.21875" style="5" customWidth="1"/>
    <col min="25" max="25" width="9.21875" style="6" customWidth="1"/>
    <col min="26" max="27" width="9.21875" customWidth="1"/>
    <col min="28" max="29" width="9.21875" style="5" customWidth="1"/>
    <col min="30" max="30" width="9.21875" customWidth="1"/>
    <col min="31" max="35" width="9.21875" style="5" customWidth="1"/>
    <col min="36" max="36" width="9.21875" customWidth="1"/>
    <col min="37" max="37" width="9.21875" style="5" customWidth="1"/>
    <col min="38" max="38" width="9.21875" style="6" customWidth="1"/>
    <col min="39" max="39" width="9.21875" style="5" customWidth="1"/>
    <col min="40" max="40" width="10.5546875" style="5" customWidth="1" outlineLevel="1"/>
    <col min="41" max="42" width="7.88671875" style="5" customWidth="1"/>
    <col min="43" max="16384" width="11.5546875" style="5"/>
  </cols>
  <sheetData>
    <row r="1" spans="1:41" ht="14.4" thickBot="1" x14ac:dyDescent="0.3">
      <c r="Z1" s="6">
        <v>3501</v>
      </c>
      <c r="AA1" s="6"/>
      <c r="AB1" s="6"/>
      <c r="AC1" s="6">
        <v>3401</v>
      </c>
      <c r="AD1" s="101" t="s">
        <v>110</v>
      </c>
      <c r="AE1" s="6"/>
      <c r="AF1" s="6"/>
      <c r="AG1" s="6"/>
      <c r="AH1" s="6"/>
      <c r="AI1" s="6"/>
    </row>
    <row r="2" spans="1:41" ht="22.2" thickTop="1" thickBot="1" x14ac:dyDescent="0.3">
      <c r="A2" s="128" t="s">
        <v>109</v>
      </c>
      <c r="B2" s="129"/>
      <c r="C2" s="129"/>
      <c r="D2" s="129"/>
      <c r="E2" s="130"/>
      <c r="L2" s="6"/>
      <c r="N2" s="6"/>
      <c r="O2" s="87" t="s">
        <v>15</v>
      </c>
      <c r="P2" s="88"/>
      <c r="Q2" s="88"/>
      <c r="R2" s="88"/>
      <c r="S2" s="88"/>
      <c r="T2" s="88"/>
      <c r="U2" s="88"/>
      <c r="V2" s="88"/>
      <c r="W2" s="88"/>
      <c r="X2" s="88"/>
      <c r="Y2" s="88"/>
      <c r="Z2" s="89"/>
      <c r="AA2" s="87" t="s">
        <v>100</v>
      </c>
      <c r="AB2" s="88"/>
      <c r="AC2" s="88"/>
      <c r="AD2" s="88"/>
      <c r="AE2" s="88"/>
      <c r="AF2" s="88"/>
      <c r="AG2" s="88"/>
      <c r="AH2" s="88"/>
      <c r="AI2" s="88"/>
      <c r="AJ2" s="88"/>
      <c r="AK2" s="89"/>
      <c r="AL2" s="5"/>
    </row>
    <row r="3" spans="1:41" s="32" customFormat="1" ht="52.95" customHeight="1" thickTop="1" thickBot="1" x14ac:dyDescent="0.3">
      <c r="A3" s="135" t="s">
        <v>125</v>
      </c>
      <c r="B3" s="133" t="s">
        <v>126</v>
      </c>
      <c r="C3" s="137" t="s">
        <v>127</v>
      </c>
      <c r="D3" s="126" t="s">
        <v>42</v>
      </c>
      <c r="E3" s="127" t="s">
        <v>160</v>
      </c>
      <c r="F3" s="122" t="s">
        <v>128</v>
      </c>
      <c r="G3" s="140" t="s">
        <v>34</v>
      </c>
      <c r="H3" s="50" t="s">
        <v>35</v>
      </c>
      <c r="I3" s="139" t="s">
        <v>17</v>
      </c>
      <c r="J3" s="122" t="s">
        <v>38</v>
      </c>
      <c r="K3" s="145" t="s">
        <v>24</v>
      </c>
      <c r="L3" s="145" t="s">
        <v>44</v>
      </c>
      <c r="M3" s="145" t="s">
        <v>36</v>
      </c>
      <c r="N3" s="50" t="s">
        <v>37</v>
      </c>
      <c r="O3" s="45" t="s">
        <v>11</v>
      </c>
      <c r="P3" s="46" t="s">
        <v>28</v>
      </c>
      <c r="Q3" s="46" t="s">
        <v>27</v>
      </c>
      <c r="R3" s="46" t="s">
        <v>25</v>
      </c>
      <c r="S3" s="46" t="s">
        <v>29</v>
      </c>
      <c r="T3" s="46" t="s">
        <v>6</v>
      </c>
      <c r="U3" s="46" t="s">
        <v>30</v>
      </c>
      <c r="V3" s="46" t="s">
        <v>26</v>
      </c>
      <c r="W3" s="47" t="s">
        <v>31</v>
      </c>
      <c r="X3" s="48" t="s">
        <v>9</v>
      </c>
      <c r="Y3" s="47" t="s">
        <v>10</v>
      </c>
      <c r="Z3" s="49" t="s">
        <v>13</v>
      </c>
      <c r="AA3" s="51" t="s">
        <v>45</v>
      </c>
      <c r="AB3" s="48" t="s">
        <v>18</v>
      </c>
      <c r="AC3" s="46" t="s">
        <v>2</v>
      </c>
      <c r="AD3" s="46" t="s">
        <v>19</v>
      </c>
      <c r="AE3" s="46" t="s">
        <v>46</v>
      </c>
      <c r="AF3" s="46" t="s">
        <v>32</v>
      </c>
      <c r="AG3" s="46" t="s">
        <v>12</v>
      </c>
      <c r="AH3" s="46" t="s">
        <v>23</v>
      </c>
      <c r="AI3" s="46" t="s">
        <v>8</v>
      </c>
      <c r="AJ3" s="47" t="s">
        <v>16</v>
      </c>
      <c r="AK3" s="52" t="s">
        <v>14</v>
      </c>
      <c r="AL3" s="53" t="s">
        <v>20</v>
      </c>
      <c r="AM3" s="54" t="s">
        <v>21</v>
      </c>
      <c r="AN3" s="121" t="s">
        <v>115</v>
      </c>
      <c r="AO3" s="5"/>
    </row>
    <row r="4" spans="1:41" ht="14.4" thickTop="1" x14ac:dyDescent="0.25">
      <c r="A4" s="136">
        <f>DONNEES[[#This Row],[AM]]</f>
        <v>44557</v>
      </c>
      <c r="B4" s="134">
        <f>WEEKDAY(DONNEES[[#This Row],[JOUR]],2)</f>
        <v>1</v>
      </c>
      <c r="C4" s="138">
        <f>_xlfn.ISOWEEKNUM(DONNEES[[#This Row],[AM]]-1)</f>
        <v>51</v>
      </c>
      <c r="D4" s="131">
        <v>44557</v>
      </c>
      <c r="E4" s="132">
        <f>DONNEES[[#This Row],[AM]]+1</f>
        <v>44558</v>
      </c>
      <c r="F4" s="16" t="s">
        <v>39</v>
      </c>
      <c r="G4" s="124">
        <v>24</v>
      </c>
      <c r="H4" s="15">
        <v>2</v>
      </c>
      <c r="I4" s="142" t="s">
        <v>86</v>
      </c>
      <c r="J4" s="16" t="s">
        <v>22</v>
      </c>
      <c r="K4" s="17">
        <v>130</v>
      </c>
      <c r="L4" s="18">
        <v>2</v>
      </c>
      <c r="M4" s="18">
        <v>1</v>
      </c>
      <c r="N4" s="19"/>
      <c r="O4" s="13">
        <v>130.9</v>
      </c>
      <c r="P4" s="10">
        <v>24</v>
      </c>
      <c r="Q4" s="10"/>
      <c r="R4" s="10"/>
      <c r="S4" s="10"/>
      <c r="T4" s="10"/>
      <c r="U4" s="10"/>
      <c r="V4" s="10"/>
      <c r="W4" s="11">
        <v>0.9</v>
      </c>
      <c r="X4" s="9"/>
      <c r="Y4" s="11"/>
      <c r="Z4" s="8">
        <f>IF(SUM(O4:W4)=0,IF(DONNEES[[#This Row],[ACPTE RECU]]-DONNEES[[#This Row],[ACPTE RENDU]]=0,"",DONNEES[[#This Row],[ACPTE RECU]]-DONNEES[[#This Row],[ACPTE RENDU]]),SUM(O4:W4)+DONNEES[[#This Row],[ACPTE RECU]]-DONNEES[[#This Row],[ACPTE RENDU]])</f>
        <v>155.80000000000001</v>
      </c>
      <c r="AA4" s="98">
        <f>IF(DONNEES[[#This Row],[DEP
REC]]="D",DONNEES[[#This Row],[DEPART]],"")</f>
        <v>44558</v>
      </c>
      <c r="AB4" s="9"/>
      <c r="AC4" s="10"/>
      <c r="AD4" s="10"/>
      <c r="AE4" s="10"/>
      <c r="AF4" s="60">
        <v>5.8</v>
      </c>
      <c r="AG4" s="10">
        <v>150</v>
      </c>
      <c r="AH4" s="10"/>
      <c r="AI4" s="10"/>
      <c r="AJ4" s="11"/>
      <c r="AK4" s="56">
        <f t="shared" ref="AK4:AK7" si="0">IF(SUM(AB4:AJ4)=0,"",SUM(AB4:AJ4))</f>
        <v>155.80000000000001</v>
      </c>
      <c r="AL4" s="13"/>
      <c r="AM4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4" s="103">
        <f>IF(DONNEES[[#This Row],[DATE
PAIEMT]]="",0,DONNEES[[#This Row],[DATE
PAIEMT]])</f>
        <v>44558</v>
      </c>
    </row>
    <row r="5" spans="1:41" x14ac:dyDescent="0.25">
      <c r="A5" s="136">
        <f>DONNEES[[#This Row],[AM]]</f>
        <v>44557</v>
      </c>
      <c r="B5" s="134">
        <f>WEEKDAY(DONNEES[[#This Row],[JOUR]],2)</f>
        <v>1</v>
      </c>
      <c r="C5" s="138">
        <f>_xlfn.ISOWEEKNUM(DONNEES[[#This Row],[AM]]-1)</f>
        <v>51</v>
      </c>
      <c r="D5" s="131">
        <v>44557</v>
      </c>
      <c r="E5" s="132">
        <f>DONNEES[[#This Row],[AM]]+1</f>
        <v>44558</v>
      </c>
      <c r="F5" s="16" t="s">
        <v>40</v>
      </c>
      <c r="G5" s="124">
        <v>5</v>
      </c>
      <c r="H5" s="15">
        <v>2</v>
      </c>
      <c r="I5" s="142" t="s">
        <v>78</v>
      </c>
      <c r="J5" s="16" t="s">
        <v>41</v>
      </c>
      <c r="K5" s="17">
        <v>182.7</v>
      </c>
      <c r="L5" s="18">
        <v>2</v>
      </c>
      <c r="M5" s="18"/>
      <c r="N5" s="19">
        <v>7</v>
      </c>
      <c r="O5" s="13"/>
      <c r="P5" s="10"/>
      <c r="Q5" s="10"/>
      <c r="R5" s="10"/>
      <c r="S5" s="10"/>
      <c r="T5" s="10"/>
      <c r="U5" s="10"/>
      <c r="V5" s="10"/>
      <c r="W5" s="11"/>
      <c r="X5" s="9"/>
      <c r="Y5" s="11"/>
      <c r="Z5" s="8" t="str">
        <f>IF(SUM(O5:W5)=0,IF(DONNEES[[#This Row],[ACPTE RECU]]-DONNEES[[#This Row],[ACPTE RENDU]]=0,"",DONNEES[[#This Row],[ACPTE RECU]]-DONNEES[[#This Row],[ACPTE RENDU]]),SUM(O5:W5)+DONNEES[[#This Row],[ACPTE RECU]]-DONNEES[[#This Row],[ACPTE RENDU]])</f>
        <v/>
      </c>
      <c r="AA5" s="98" t="str">
        <f>IF(DONNEES[[#This Row],[DEP
REC]]="D",DONNEES[[#This Row],[DEPART]],"")</f>
        <v/>
      </c>
      <c r="AB5" s="9"/>
      <c r="AC5" s="10"/>
      <c r="AD5" s="10"/>
      <c r="AE5" s="10"/>
      <c r="AF5" s="10"/>
      <c r="AG5" s="10"/>
      <c r="AH5" s="10"/>
      <c r="AI5" s="10"/>
      <c r="AJ5" s="11"/>
      <c r="AK5" s="56" t="str">
        <f t="shared" si="0"/>
        <v/>
      </c>
      <c r="AL5" s="13"/>
      <c r="AM5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5" s="103">
        <f>IF(DONNEES[[#This Row],[DATE
PAIEMT]]="",0,DONNEES[[#This Row],[DATE
PAIEMT]])</f>
        <v>0</v>
      </c>
    </row>
    <row r="6" spans="1:41" x14ac:dyDescent="0.25">
      <c r="A6" s="136">
        <f>DONNEES[[#This Row],[AM]]</f>
        <v>44557</v>
      </c>
      <c r="B6" s="134">
        <f>WEEKDAY(DONNEES[[#This Row],[JOUR]],2)</f>
        <v>1</v>
      </c>
      <c r="C6" s="138">
        <f>_xlfn.ISOWEEKNUM(DONNEES[[#This Row],[AM]]-1)</f>
        <v>51</v>
      </c>
      <c r="D6" s="131">
        <v>44557</v>
      </c>
      <c r="E6" s="132">
        <f>DONNEES[[#This Row],[AM]]+1</f>
        <v>44558</v>
      </c>
      <c r="F6" s="16" t="s">
        <v>40</v>
      </c>
      <c r="G6" s="124">
        <v>12</v>
      </c>
      <c r="H6" s="15">
        <v>2</v>
      </c>
      <c r="I6" s="142" t="s">
        <v>79</v>
      </c>
      <c r="J6" s="16" t="s">
        <v>41</v>
      </c>
      <c r="K6" s="17">
        <v>142.19999999999999</v>
      </c>
      <c r="L6" s="18"/>
      <c r="M6" s="18"/>
      <c r="N6" s="19"/>
      <c r="O6" s="13"/>
      <c r="P6" s="10"/>
      <c r="Q6" s="10"/>
      <c r="R6" s="10"/>
      <c r="S6" s="10"/>
      <c r="T6" s="10"/>
      <c r="U6" s="10"/>
      <c r="V6" s="10"/>
      <c r="W6" s="11"/>
      <c r="X6" s="9"/>
      <c r="Y6" s="11"/>
      <c r="Z6" s="8" t="str">
        <f>IF(SUM(O6:W6)=0,IF(DONNEES[[#This Row],[ACPTE RECU]]-DONNEES[[#This Row],[ACPTE RENDU]]=0,"",DONNEES[[#This Row],[ACPTE RECU]]-DONNEES[[#This Row],[ACPTE RENDU]]),SUM(O6:W6)+DONNEES[[#This Row],[ACPTE RECU]]-DONNEES[[#This Row],[ACPTE RENDU]])</f>
        <v/>
      </c>
      <c r="AA6" s="98" t="str">
        <f>IF(DONNEES[[#This Row],[DEP
REC]]="D",DONNEES[[#This Row],[DEPART]],"")</f>
        <v/>
      </c>
      <c r="AB6" s="9"/>
      <c r="AC6" s="10"/>
      <c r="AD6" s="10"/>
      <c r="AE6" s="10"/>
      <c r="AF6" s="10"/>
      <c r="AG6" s="10"/>
      <c r="AH6" s="10"/>
      <c r="AI6" s="10"/>
      <c r="AJ6" s="11"/>
      <c r="AK6" s="56" t="str">
        <f t="shared" si="0"/>
        <v/>
      </c>
      <c r="AL6" s="13"/>
      <c r="AM6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6" s="103">
        <f>IF(DONNEES[[#This Row],[DATE
PAIEMT]]="",0,DONNEES[[#This Row],[DATE
PAIEMT]])</f>
        <v>0</v>
      </c>
    </row>
    <row r="7" spans="1:41" x14ac:dyDescent="0.25">
      <c r="A7" s="136">
        <f>DONNEES[[#This Row],[AM]]</f>
        <v>44557</v>
      </c>
      <c r="B7" s="134">
        <f>WEEKDAY(DONNEES[[#This Row],[JOUR]],2)</f>
        <v>1</v>
      </c>
      <c r="C7" s="138">
        <f>_xlfn.ISOWEEKNUM(DONNEES[[#This Row],[AM]]-1)</f>
        <v>51</v>
      </c>
      <c r="D7" s="131">
        <v>44557</v>
      </c>
      <c r="E7" s="132">
        <f>DONNEES[[#This Row],[AM]]+1</f>
        <v>44558</v>
      </c>
      <c r="F7" s="16" t="s">
        <v>40</v>
      </c>
      <c r="G7" s="124">
        <v>20</v>
      </c>
      <c r="H7" s="15">
        <v>2</v>
      </c>
      <c r="I7" s="142" t="s">
        <v>80</v>
      </c>
      <c r="J7" s="16" t="s">
        <v>22</v>
      </c>
      <c r="K7" s="17">
        <v>213</v>
      </c>
      <c r="L7" s="18">
        <v>2</v>
      </c>
      <c r="M7" s="18">
        <v>1</v>
      </c>
      <c r="N7" s="19">
        <v>8</v>
      </c>
      <c r="O7" s="13"/>
      <c r="P7" s="10"/>
      <c r="Q7" s="10"/>
      <c r="R7" s="10"/>
      <c r="S7" s="10"/>
      <c r="T7" s="10"/>
      <c r="U7" s="10"/>
      <c r="V7" s="10"/>
      <c r="W7" s="11"/>
      <c r="X7" s="9"/>
      <c r="Y7" s="11"/>
      <c r="Z7" s="8" t="str">
        <f>IF(SUM(O7:W7)=0,IF(DONNEES[[#This Row],[ACPTE RECU]]-DONNEES[[#This Row],[ACPTE RENDU]]=0,"",DONNEES[[#This Row],[ACPTE RECU]]-DONNEES[[#This Row],[ACPTE RENDU]]),SUM(O7:W7)+DONNEES[[#This Row],[ACPTE RECU]]-DONNEES[[#This Row],[ACPTE RENDU]])</f>
        <v/>
      </c>
      <c r="AA7" s="98" t="str">
        <f>IF(DONNEES[[#This Row],[DEP
REC]]="D",DONNEES[[#This Row],[DEPART]],"")</f>
        <v/>
      </c>
      <c r="AB7" s="9"/>
      <c r="AC7" s="10"/>
      <c r="AD7" s="10"/>
      <c r="AE7" s="10"/>
      <c r="AF7" s="10"/>
      <c r="AG7" s="10"/>
      <c r="AH7" s="10"/>
      <c r="AI7" s="10"/>
      <c r="AJ7" s="11"/>
      <c r="AK7" s="56" t="str">
        <f t="shared" si="0"/>
        <v/>
      </c>
      <c r="AL7" s="13"/>
      <c r="AM7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7" s="103">
        <f>IF(DONNEES[[#This Row],[DATE
PAIEMT]]="",0,DONNEES[[#This Row],[DATE
PAIEMT]])</f>
        <v>0</v>
      </c>
    </row>
    <row r="8" spans="1:41" x14ac:dyDescent="0.25">
      <c r="A8" s="136">
        <f>DONNEES[[#This Row],[AM]]</f>
        <v>44557</v>
      </c>
      <c r="B8" s="134">
        <f>WEEKDAY(DONNEES[[#This Row],[JOUR]],2)</f>
        <v>1</v>
      </c>
      <c r="C8" s="138">
        <f>_xlfn.ISOWEEKNUM(DONNEES[[#This Row],[AM]]-1)</f>
        <v>51</v>
      </c>
      <c r="D8" s="131">
        <v>44557</v>
      </c>
      <c r="E8" s="132">
        <f>DONNEES[[#This Row],[AM]]+1</f>
        <v>44558</v>
      </c>
      <c r="F8" s="16" t="s">
        <v>40</v>
      </c>
      <c r="G8" s="124">
        <v>21</v>
      </c>
      <c r="H8" s="15">
        <v>1</v>
      </c>
      <c r="I8" s="142" t="s">
        <v>81</v>
      </c>
      <c r="J8" s="16" t="s">
        <v>22</v>
      </c>
      <c r="K8" s="17">
        <v>213</v>
      </c>
      <c r="L8" s="18">
        <v>1</v>
      </c>
      <c r="M8" s="18"/>
      <c r="N8" s="19"/>
      <c r="O8" s="13"/>
      <c r="P8" s="10"/>
      <c r="Q8" s="10"/>
      <c r="R8" s="10"/>
      <c r="S8" s="10"/>
      <c r="T8" s="10"/>
      <c r="U8" s="10"/>
      <c r="V8" s="10"/>
      <c r="W8" s="11"/>
      <c r="X8" s="9"/>
      <c r="Y8" s="11"/>
      <c r="Z8" s="8" t="str">
        <f>IF(SUM(O8:W8)=0,IF(DONNEES[[#This Row],[ACPTE RECU]]-DONNEES[[#This Row],[ACPTE RENDU]]=0,"",DONNEES[[#This Row],[ACPTE RECU]]-DONNEES[[#This Row],[ACPTE RENDU]]),SUM(O8:W8)+DONNEES[[#This Row],[ACPTE RECU]]-DONNEES[[#This Row],[ACPTE RENDU]])</f>
        <v/>
      </c>
      <c r="AA8" s="98" t="str">
        <f>IF(DONNEES[[#This Row],[DEP
REC]]="D",DONNEES[[#This Row],[DEPART]],"")</f>
        <v/>
      </c>
      <c r="AB8" s="9"/>
      <c r="AC8" s="10"/>
      <c r="AD8" s="10"/>
      <c r="AE8" s="10"/>
      <c r="AF8" s="10"/>
      <c r="AG8" s="10"/>
      <c r="AH8" s="10"/>
      <c r="AI8" s="10"/>
      <c r="AJ8" s="11"/>
      <c r="AK8" s="56" t="str">
        <f t="shared" ref="AK8:AK25" si="1">IF(SUM(AB8:AJ8)=0,"",SUM(AB8:AJ8))</f>
        <v/>
      </c>
      <c r="AL8" s="13"/>
      <c r="AM8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8" s="103">
        <f>IF(DONNEES[[#This Row],[DATE
PAIEMT]]="",0,DONNEES[[#This Row],[DATE
PAIEMT]])</f>
        <v>0</v>
      </c>
    </row>
    <row r="9" spans="1:41" x14ac:dyDescent="0.25">
      <c r="A9" s="136">
        <f>DONNEES[[#This Row],[AM]]</f>
        <v>44557</v>
      </c>
      <c r="B9" s="134">
        <f>WEEKDAY(DONNEES[[#This Row],[JOUR]],2)</f>
        <v>1</v>
      </c>
      <c r="C9" s="138">
        <f>_xlfn.ISOWEEKNUM(DONNEES[[#This Row],[AM]]-1)</f>
        <v>51</v>
      </c>
      <c r="D9" s="131">
        <v>44557</v>
      </c>
      <c r="E9" s="132">
        <f>DONNEES[[#This Row],[AM]]+1</f>
        <v>44558</v>
      </c>
      <c r="F9" s="16" t="s">
        <v>40</v>
      </c>
      <c r="G9" s="124">
        <v>22</v>
      </c>
      <c r="H9" s="15">
        <v>2</v>
      </c>
      <c r="I9" s="142" t="s">
        <v>82</v>
      </c>
      <c r="J9" s="16" t="s">
        <v>22</v>
      </c>
      <c r="K9" s="17">
        <v>213</v>
      </c>
      <c r="L9" s="18">
        <v>2</v>
      </c>
      <c r="M9" s="18"/>
      <c r="N9" s="19"/>
      <c r="O9" s="13"/>
      <c r="P9" s="10"/>
      <c r="Q9" s="10"/>
      <c r="R9" s="10"/>
      <c r="S9" s="10"/>
      <c r="T9" s="10"/>
      <c r="U9" s="10"/>
      <c r="V9" s="10"/>
      <c r="W9" s="11"/>
      <c r="X9" s="9"/>
      <c r="Y9" s="11"/>
      <c r="Z9" s="8" t="str">
        <f>IF(SUM(O9:W9)=0,IF(DONNEES[[#This Row],[ACPTE RECU]]-DONNEES[[#This Row],[ACPTE RENDU]]=0,"",DONNEES[[#This Row],[ACPTE RECU]]-DONNEES[[#This Row],[ACPTE RENDU]]),SUM(O9:W9)+DONNEES[[#This Row],[ACPTE RECU]]-DONNEES[[#This Row],[ACPTE RENDU]])</f>
        <v/>
      </c>
      <c r="AA9" s="98" t="str">
        <f>IF(DONNEES[[#This Row],[DEP
REC]]="D",DONNEES[[#This Row],[DEPART]],"")</f>
        <v/>
      </c>
      <c r="AB9" s="9"/>
      <c r="AC9" s="10"/>
      <c r="AD9" s="10"/>
      <c r="AE9" s="10"/>
      <c r="AF9" s="10"/>
      <c r="AG9" s="10"/>
      <c r="AH9" s="10"/>
      <c r="AI9" s="10"/>
      <c r="AJ9" s="11"/>
      <c r="AK9" s="56" t="str">
        <f t="shared" si="1"/>
        <v/>
      </c>
      <c r="AL9" s="13"/>
      <c r="AM9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9" s="103">
        <f>IF(DONNEES[[#This Row],[DATE
PAIEMT]]="",0,DONNEES[[#This Row],[DATE
PAIEMT]])</f>
        <v>0</v>
      </c>
    </row>
    <row r="10" spans="1:41" x14ac:dyDescent="0.25">
      <c r="A10" s="136">
        <f>DONNEES[[#This Row],[AM]]</f>
        <v>44557</v>
      </c>
      <c r="B10" s="134">
        <f>WEEKDAY(DONNEES[[#This Row],[JOUR]],2)</f>
        <v>1</v>
      </c>
      <c r="C10" s="138">
        <f>_xlfn.ISOWEEKNUM(DONNEES[[#This Row],[AM]]-1)</f>
        <v>51</v>
      </c>
      <c r="D10" s="131">
        <v>44557</v>
      </c>
      <c r="E10" s="132">
        <f>DONNEES[[#This Row],[AM]]+1</f>
        <v>44558</v>
      </c>
      <c r="F10" s="16" t="s">
        <v>40</v>
      </c>
      <c r="G10" s="124">
        <v>25</v>
      </c>
      <c r="H10" s="15">
        <v>2</v>
      </c>
      <c r="I10" s="142" t="s">
        <v>83</v>
      </c>
      <c r="J10" s="16" t="s">
        <v>22</v>
      </c>
      <c r="K10" s="17">
        <v>160</v>
      </c>
      <c r="L10" s="18">
        <v>2</v>
      </c>
      <c r="M10" s="18"/>
      <c r="N10" s="19"/>
      <c r="O10" s="13"/>
      <c r="P10" s="10"/>
      <c r="Q10" s="10"/>
      <c r="R10" s="10"/>
      <c r="S10" s="10"/>
      <c r="T10" s="10"/>
      <c r="U10" s="10"/>
      <c r="V10" s="10"/>
      <c r="W10" s="11"/>
      <c r="X10" s="9"/>
      <c r="Y10" s="11"/>
      <c r="Z10" s="8" t="str">
        <f>IF(SUM(O10:W10)=0,IF(DONNEES[[#This Row],[ACPTE RECU]]-DONNEES[[#This Row],[ACPTE RENDU]]=0,"",DONNEES[[#This Row],[ACPTE RECU]]-DONNEES[[#This Row],[ACPTE RENDU]]),SUM(O10:W10)+DONNEES[[#This Row],[ACPTE RECU]]-DONNEES[[#This Row],[ACPTE RENDU]])</f>
        <v/>
      </c>
      <c r="AA10" s="98" t="str">
        <f>IF(DONNEES[[#This Row],[DEP
REC]]="D",DONNEES[[#This Row],[DEPART]],"")</f>
        <v/>
      </c>
      <c r="AB10" s="9"/>
      <c r="AC10" s="10"/>
      <c r="AD10" s="10"/>
      <c r="AE10" s="10"/>
      <c r="AF10" s="10"/>
      <c r="AG10" s="10"/>
      <c r="AH10" s="10"/>
      <c r="AI10" s="10"/>
      <c r="AJ10" s="11"/>
      <c r="AK10" s="56" t="str">
        <f t="shared" si="1"/>
        <v/>
      </c>
      <c r="AL10" s="13"/>
      <c r="AM10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0" s="103">
        <f>IF(DONNEES[[#This Row],[DATE
PAIEMT]]="",0,DONNEES[[#This Row],[DATE
PAIEMT]])</f>
        <v>0</v>
      </c>
    </row>
    <row r="11" spans="1:41" x14ac:dyDescent="0.25">
      <c r="A11" s="136">
        <f>DONNEES[[#This Row],[AM]]</f>
        <v>44557</v>
      </c>
      <c r="B11" s="134">
        <f>WEEKDAY(DONNEES[[#This Row],[JOUR]],2)</f>
        <v>1</v>
      </c>
      <c r="C11" s="138">
        <f>_xlfn.ISOWEEKNUM(DONNEES[[#This Row],[AM]]-1)</f>
        <v>51</v>
      </c>
      <c r="D11" s="131">
        <v>44557</v>
      </c>
      <c r="E11" s="132">
        <f>DONNEES[[#This Row],[AM]]+1</f>
        <v>44558</v>
      </c>
      <c r="F11" s="16" t="s">
        <v>40</v>
      </c>
      <c r="G11" s="124">
        <v>6</v>
      </c>
      <c r="H11" s="15">
        <v>2</v>
      </c>
      <c r="I11" s="142" t="s">
        <v>84</v>
      </c>
      <c r="J11" s="16" t="s">
        <v>22</v>
      </c>
      <c r="K11" s="17">
        <v>205</v>
      </c>
      <c r="L11" s="18">
        <v>2</v>
      </c>
      <c r="M11" s="18">
        <v>1</v>
      </c>
      <c r="N11" s="19"/>
      <c r="O11" s="13"/>
      <c r="P11" s="10"/>
      <c r="Q11" s="10"/>
      <c r="R11" s="10"/>
      <c r="S11" s="10"/>
      <c r="T11" s="10"/>
      <c r="U11" s="10"/>
      <c r="V11" s="10"/>
      <c r="W11" s="11"/>
      <c r="X11" s="9"/>
      <c r="Y11" s="11"/>
      <c r="Z11" s="8" t="str">
        <f>IF(SUM(O11:W11)=0,IF(DONNEES[[#This Row],[ACPTE RECU]]-DONNEES[[#This Row],[ACPTE RENDU]]=0,"",DONNEES[[#This Row],[ACPTE RECU]]-DONNEES[[#This Row],[ACPTE RENDU]]),SUM(O11:W11)+DONNEES[[#This Row],[ACPTE RECU]]-DONNEES[[#This Row],[ACPTE RENDU]])</f>
        <v/>
      </c>
      <c r="AA11" s="98" t="str">
        <f>IF(DONNEES[[#This Row],[DEP
REC]]="D",DONNEES[[#This Row],[DEPART]],"")</f>
        <v/>
      </c>
      <c r="AB11" s="9"/>
      <c r="AC11" s="10"/>
      <c r="AD11" s="10"/>
      <c r="AE11" s="10"/>
      <c r="AF11" s="10"/>
      <c r="AG11" s="10"/>
      <c r="AH11" s="10"/>
      <c r="AI11" s="10"/>
      <c r="AJ11" s="11"/>
      <c r="AK11" s="56" t="str">
        <f t="shared" si="1"/>
        <v/>
      </c>
      <c r="AL11" s="13"/>
      <c r="AM11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1" s="103">
        <f>IF(DONNEES[[#This Row],[DATE
PAIEMT]]="",0,DONNEES[[#This Row],[DATE
PAIEMT]])</f>
        <v>0</v>
      </c>
    </row>
    <row r="12" spans="1:41" x14ac:dyDescent="0.25">
      <c r="A12" s="136">
        <f>DONNEES[[#This Row],[AM]]</f>
        <v>44557</v>
      </c>
      <c r="B12" s="134">
        <f>WEEKDAY(DONNEES[[#This Row],[JOUR]],2)</f>
        <v>1</v>
      </c>
      <c r="C12" s="138">
        <f>_xlfn.ISOWEEKNUM(DONNEES[[#This Row],[AM]]-1)</f>
        <v>51</v>
      </c>
      <c r="D12" s="131">
        <v>44557</v>
      </c>
      <c r="E12" s="132">
        <f>DONNEES[[#This Row],[AM]]+1</f>
        <v>44558</v>
      </c>
      <c r="F12" s="16" t="s">
        <v>40</v>
      </c>
      <c r="G12" s="124">
        <v>16</v>
      </c>
      <c r="H12" s="15">
        <v>2</v>
      </c>
      <c r="I12" s="142" t="s">
        <v>85</v>
      </c>
      <c r="J12" s="16" t="s">
        <v>41</v>
      </c>
      <c r="K12" s="17">
        <v>193.5</v>
      </c>
      <c r="L12" s="18">
        <v>2</v>
      </c>
      <c r="M12" s="18"/>
      <c r="N12" s="19"/>
      <c r="O12" s="13"/>
      <c r="P12" s="10"/>
      <c r="Q12" s="10"/>
      <c r="R12" s="10"/>
      <c r="S12" s="10"/>
      <c r="T12" s="10"/>
      <c r="U12" s="10"/>
      <c r="V12" s="10"/>
      <c r="W12" s="11"/>
      <c r="X12" s="9"/>
      <c r="Y12" s="11"/>
      <c r="Z12" s="8" t="str">
        <f>IF(SUM(O12:W12)=0,IF(DONNEES[[#This Row],[ACPTE RECU]]-DONNEES[[#This Row],[ACPTE RENDU]]=0,"",DONNEES[[#This Row],[ACPTE RECU]]-DONNEES[[#This Row],[ACPTE RENDU]]),SUM(O12:W12)+DONNEES[[#This Row],[ACPTE RECU]]-DONNEES[[#This Row],[ACPTE RENDU]])</f>
        <v/>
      </c>
      <c r="AA12" s="98" t="str">
        <f>IF(DONNEES[[#This Row],[DEP
REC]]="D",DONNEES[[#This Row],[DEPART]],"")</f>
        <v/>
      </c>
      <c r="AB12" s="9"/>
      <c r="AC12" s="10"/>
      <c r="AD12" s="10"/>
      <c r="AE12" s="10"/>
      <c r="AF12" s="10"/>
      <c r="AG12" s="10"/>
      <c r="AH12" s="10"/>
      <c r="AI12" s="10"/>
      <c r="AJ12" s="11"/>
      <c r="AK12" s="56" t="str">
        <f t="shared" si="1"/>
        <v/>
      </c>
      <c r="AL12" s="13"/>
      <c r="AM12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2" s="103">
        <f>IF(DONNEES[[#This Row],[DATE
PAIEMT]]="",0,DONNEES[[#This Row],[DATE
PAIEMT]])</f>
        <v>0</v>
      </c>
    </row>
    <row r="13" spans="1:41" x14ac:dyDescent="0.25">
      <c r="A13" s="136">
        <f>DONNEES[[#This Row],[AM]]</f>
        <v>44558</v>
      </c>
      <c r="B13" s="134">
        <f>WEEKDAY(DONNEES[[#This Row],[JOUR]],2)</f>
        <v>2</v>
      </c>
      <c r="C13" s="138">
        <f>_xlfn.ISOWEEKNUM(DONNEES[[#This Row],[AM]]-1)</f>
        <v>52</v>
      </c>
      <c r="D13" s="131">
        <v>44558</v>
      </c>
      <c r="E13" s="132">
        <f>DONNEES[[#This Row],[AM]]+1</f>
        <v>44559</v>
      </c>
      <c r="F13" s="16" t="s">
        <v>39</v>
      </c>
      <c r="G13" s="124">
        <v>15</v>
      </c>
      <c r="H13" s="15"/>
      <c r="I13" s="142" t="s">
        <v>92</v>
      </c>
      <c r="J13" s="16" t="s">
        <v>41</v>
      </c>
      <c r="K13" s="17">
        <v>234</v>
      </c>
      <c r="L13" s="18"/>
      <c r="M13" s="18"/>
      <c r="N13" s="19"/>
      <c r="O13" s="13">
        <v>234</v>
      </c>
      <c r="P13" s="10"/>
      <c r="Q13" s="10"/>
      <c r="R13" s="10"/>
      <c r="S13" s="10"/>
      <c r="T13" s="10"/>
      <c r="U13" s="10"/>
      <c r="V13" s="10"/>
      <c r="W13" s="11"/>
      <c r="X13" s="9"/>
      <c r="Y13" s="11"/>
      <c r="Z13" s="8">
        <f>IF(SUM(O13:W13)=0,IF(DONNEES[[#This Row],[ACPTE RECU]]-DONNEES[[#This Row],[ACPTE RENDU]]=0,"",DONNEES[[#This Row],[ACPTE RECU]]-DONNEES[[#This Row],[ACPTE RENDU]]),SUM(O13:W13)+DONNEES[[#This Row],[ACPTE RECU]]-DONNEES[[#This Row],[ACPTE RENDU]])</f>
        <v>234</v>
      </c>
      <c r="AA13" s="98">
        <v>44557</v>
      </c>
      <c r="AB13" s="9"/>
      <c r="AC13" s="10"/>
      <c r="AD13" s="10"/>
      <c r="AE13" s="60">
        <v>234</v>
      </c>
      <c r="AF13" s="10"/>
      <c r="AG13" s="10"/>
      <c r="AH13" s="10"/>
      <c r="AI13" s="10"/>
      <c r="AJ13" s="11"/>
      <c r="AK13" s="56">
        <f t="shared" si="1"/>
        <v>234</v>
      </c>
      <c r="AL13" s="13"/>
      <c r="AM13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3" s="103">
        <f>IF(DONNEES[[#This Row],[DATE
PAIEMT]]="",0,DONNEES[[#This Row],[DATE
PAIEMT]])</f>
        <v>44557</v>
      </c>
    </row>
    <row r="14" spans="1:41" x14ac:dyDescent="0.25">
      <c r="A14" s="136">
        <f>DONNEES[[#This Row],[AM]]</f>
        <v>44558</v>
      </c>
      <c r="B14" s="134">
        <f>WEEKDAY(DONNEES[[#This Row],[JOUR]],2)</f>
        <v>2</v>
      </c>
      <c r="C14" s="138">
        <f>_xlfn.ISOWEEKNUM(DONNEES[[#This Row],[AM]]-1)</f>
        <v>52</v>
      </c>
      <c r="D14" s="131">
        <v>44558</v>
      </c>
      <c r="E14" s="132">
        <f>DONNEES[[#This Row],[AM]]+1</f>
        <v>44559</v>
      </c>
      <c r="F14" s="16" t="s">
        <v>39</v>
      </c>
      <c r="G14" s="124">
        <v>24</v>
      </c>
      <c r="H14" s="15">
        <v>2</v>
      </c>
      <c r="I14" s="142" t="s">
        <v>87</v>
      </c>
      <c r="J14" s="16" t="s">
        <v>41</v>
      </c>
      <c r="K14" s="17">
        <v>147.6</v>
      </c>
      <c r="L14" s="18">
        <v>2</v>
      </c>
      <c r="M14" s="18"/>
      <c r="N14" s="19"/>
      <c r="O14" s="13">
        <v>148.5</v>
      </c>
      <c r="P14" s="10">
        <v>24</v>
      </c>
      <c r="Q14" s="10"/>
      <c r="R14" s="10"/>
      <c r="S14" s="10"/>
      <c r="T14" s="10"/>
      <c r="U14" s="10"/>
      <c r="V14" s="10"/>
      <c r="W14" s="11">
        <v>0.9</v>
      </c>
      <c r="X14" s="9"/>
      <c r="Y14" s="11"/>
      <c r="Z14" s="8">
        <f>IF(SUM(O14:W14)=0,IF(DONNEES[[#This Row],[ACPTE RECU]]-DONNEES[[#This Row],[ACPTE RENDU]]=0,"",DONNEES[[#This Row],[ACPTE RECU]]-DONNEES[[#This Row],[ACPTE RENDU]]),SUM(O14:W14)+DONNEES[[#This Row],[ACPTE RECU]]-DONNEES[[#This Row],[ACPTE RENDU]])</f>
        <v>173.4</v>
      </c>
      <c r="AA14" s="98">
        <f>IF(DONNEES[[#This Row],[DEP
REC]]="D",DONNEES[[#This Row],[DEPART]],"")</f>
        <v>44559</v>
      </c>
      <c r="AB14" s="61">
        <v>173.4</v>
      </c>
      <c r="AC14" s="10"/>
      <c r="AD14" s="10"/>
      <c r="AE14" s="10"/>
      <c r="AF14" s="10"/>
      <c r="AG14" s="10"/>
      <c r="AH14" s="10"/>
      <c r="AI14" s="10"/>
      <c r="AJ14" s="11"/>
      <c r="AK14" s="56">
        <f t="shared" si="1"/>
        <v>173.4</v>
      </c>
      <c r="AL14" s="13"/>
      <c r="AM14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4" s="103">
        <f>IF(DONNEES[[#This Row],[DATE
PAIEMT]]="",0,DONNEES[[#This Row],[DATE
PAIEMT]])</f>
        <v>44559</v>
      </c>
    </row>
    <row r="15" spans="1:41" x14ac:dyDescent="0.25">
      <c r="A15" s="136">
        <f>DONNEES[[#This Row],[AM]]</f>
        <v>44558</v>
      </c>
      <c r="B15" s="134">
        <f>WEEKDAY(DONNEES[[#This Row],[JOUR]],2)</f>
        <v>2</v>
      </c>
      <c r="C15" s="138">
        <f>_xlfn.ISOWEEKNUM(DONNEES[[#This Row],[AM]]-1)</f>
        <v>52</v>
      </c>
      <c r="D15" s="131">
        <v>44558</v>
      </c>
      <c r="E15" s="132">
        <f>DONNEES[[#This Row],[AM]]+1</f>
        <v>44559</v>
      </c>
      <c r="F15" s="16" t="s">
        <v>39</v>
      </c>
      <c r="G15" s="124">
        <v>12</v>
      </c>
      <c r="H15" s="15">
        <v>2</v>
      </c>
      <c r="I15" s="142" t="s">
        <v>79</v>
      </c>
      <c r="J15" s="16" t="s">
        <v>41</v>
      </c>
      <c r="K15" s="17">
        <v>147.6</v>
      </c>
      <c r="L15" s="18"/>
      <c r="M15" s="18"/>
      <c r="N15" s="19"/>
      <c r="O15" s="13">
        <f>142.2+147.6+1.8</f>
        <v>291.59999999999997</v>
      </c>
      <c r="P15" s="10"/>
      <c r="Q15" s="10"/>
      <c r="R15" s="10"/>
      <c r="S15" s="10"/>
      <c r="T15" s="10"/>
      <c r="U15" s="10"/>
      <c r="V15" s="10"/>
      <c r="W15" s="11">
        <v>1.8</v>
      </c>
      <c r="X15" s="9"/>
      <c r="Y15" s="11"/>
      <c r="Z15" s="8">
        <f>IF(SUM(O15:W15)=0,IF(DONNEES[[#This Row],[ACPTE RECU]]-DONNEES[[#This Row],[ACPTE RENDU]]=0,"",DONNEES[[#This Row],[ACPTE RECU]]-DONNEES[[#This Row],[ACPTE RENDU]]),SUM(O15:W15)+DONNEES[[#This Row],[ACPTE RECU]]-DONNEES[[#This Row],[ACPTE RENDU]])</f>
        <v>293.39999999999998</v>
      </c>
      <c r="AA15" s="98">
        <f>IF(DONNEES[[#This Row],[DEP
REC]]="D",DONNEES[[#This Row],[DEPART]],"")</f>
        <v>44559</v>
      </c>
      <c r="AB15" s="61">
        <v>293.39999999999998</v>
      </c>
      <c r="AC15" s="10"/>
      <c r="AD15" s="10"/>
      <c r="AE15" s="10"/>
      <c r="AF15" s="10"/>
      <c r="AG15" s="10"/>
      <c r="AH15" s="10"/>
      <c r="AI15" s="10"/>
      <c r="AJ15" s="11"/>
      <c r="AK15" s="56">
        <f t="shared" si="1"/>
        <v>293.39999999999998</v>
      </c>
      <c r="AL15" s="13"/>
      <c r="AM15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5" s="103">
        <f>IF(DONNEES[[#This Row],[DATE
PAIEMT]]="",0,DONNEES[[#This Row],[DATE
PAIEMT]])</f>
        <v>44559</v>
      </c>
    </row>
    <row r="16" spans="1:41" x14ac:dyDescent="0.25">
      <c r="A16" s="136">
        <f>DONNEES[[#This Row],[AM]]</f>
        <v>44558</v>
      </c>
      <c r="B16" s="134">
        <f>WEEKDAY(DONNEES[[#This Row],[JOUR]],2)</f>
        <v>2</v>
      </c>
      <c r="C16" s="138">
        <f>_xlfn.ISOWEEKNUM(DONNEES[[#This Row],[AM]]-1)</f>
        <v>52</v>
      </c>
      <c r="D16" s="131">
        <v>44558</v>
      </c>
      <c r="E16" s="132">
        <f>DONNEES[[#This Row],[AM]]+1</f>
        <v>44559</v>
      </c>
      <c r="F16" s="16" t="s">
        <v>39</v>
      </c>
      <c r="G16" s="124">
        <v>25</v>
      </c>
      <c r="H16" s="15">
        <v>2</v>
      </c>
      <c r="I16" s="142" t="s">
        <v>83</v>
      </c>
      <c r="J16" s="16" t="s">
        <v>22</v>
      </c>
      <c r="K16" s="17">
        <v>185</v>
      </c>
      <c r="L16" s="18">
        <v>2</v>
      </c>
      <c r="M16" s="18"/>
      <c r="N16" s="19"/>
      <c r="O16" s="13">
        <f>160+185+1.8</f>
        <v>346.8</v>
      </c>
      <c r="P16" s="10">
        <v>48</v>
      </c>
      <c r="Q16" s="10"/>
      <c r="R16" s="10"/>
      <c r="S16" s="10"/>
      <c r="T16" s="10"/>
      <c r="U16" s="10"/>
      <c r="V16" s="10"/>
      <c r="W16" s="11">
        <v>1.8</v>
      </c>
      <c r="X16" s="9"/>
      <c r="Y16" s="11"/>
      <c r="Z16" s="8">
        <f>IF(SUM(O16:W16)=0,IF(DONNEES[[#This Row],[ACPTE RECU]]-DONNEES[[#This Row],[ACPTE RENDU]]=0,"",DONNEES[[#This Row],[ACPTE RECU]]-DONNEES[[#This Row],[ACPTE RENDU]]),SUM(O16:W16)+DONNEES[[#This Row],[ACPTE RECU]]-DONNEES[[#This Row],[ACPTE RENDU]])</f>
        <v>396.6</v>
      </c>
      <c r="AA16" s="98">
        <f>IF(DONNEES[[#This Row],[DEP
REC]]="D",DONNEES[[#This Row],[DEPART]],"")</f>
        <v>44559</v>
      </c>
      <c r="AB16" s="9"/>
      <c r="AC16" s="10"/>
      <c r="AD16" s="10"/>
      <c r="AE16" s="10"/>
      <c r="AF16" s="10"/>
      <c r="AG16" s="10">
        <v>400</v>
      </c>
      <c r="AH16" s="10">
        <v>-3.4</v>
      </c>
      <c r="AI16" s="10"/>
      <c r="AJ16" s="11"/>
      <c r="AK16" s="56">
        <f t="shared" si="1"/>
        <v>396.6</v>
      </c>
      <c r="AL16" s="13"/>
      <c r="AM16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6" s="103">
        <f>IF(DONNEES[[#This Row],[DATE
PAIEMT]]="",0,DONNEES[[#This Row],[DATE
PAIEMT]])</f>
        <v>44559</v>
      </c>
    </row>
    <row r="17" spans="1:40" x14ac:dyDescent="0.25">
      <c r="A17" s="136">
        <f>DONNEES[[#This Row],[AM]]</f>
        <v>44558</v>
      </c>
      <c r="B17" s="134">
        <f>WEEKDAY(DONNEES[[#This Row],[JOUR]],2)</f>
        <v>2</v>
      </c>
      <c r="C17" s="138">
        <f>_xlfn.ISOWEEKNUM(DONNEES[[#This Row],[AM]]-1)</f>
        <v>52</v>
      </c>
      <c r="D17" s="131">
        <v>44558</v>
      </c>
      <c r="E17" s="132">
        <f>DONNEES[[#This Row],[AM]]+1</f>
        <v>44559</v>
      </c>
      <c r="F17" s="16" t="s">
        <v>39</v>
      </c>
      <c r="G17" s="124">
        <v>14</v>
      </c>
      <c r="H17" s="15">
        <v>2</v>
      </c>
      <c r="I17" s="142" t="s">
        <v>89</v>
      </c>
      <c r="J17" s="16" t="s">
        <v>22</v>
      </c>
      <c r="K17" s="17">
        <v>170</v>
      </c>
      <c r="L17" s="18"/>
      <c r="M17" s="18"/>
      <c r="N17" s="19"/>
      <c r="O17" s="13">
        <v>170.9</v>
      </c>
      <c r="P17" s="10"/>
      <c r="Q17" s="10"/>
      <c r="R17" s="10"/>
      <c r="S17" s="10"/>
      <c r="T17" s="10"/>
      <c r="U17" s="10"/>
      <c r="V17" s="10"/>
      <c r="W17" s="11">
        <v>0.9</v>
      </c>
      <c r="X17" s="9"/>
      <c r="Y17" s="11"/>
      <c r="Z17" s="8">
        <f>IF(SUM(O17:W17)=0,IF(DONNEES[[#This Row],[ACPTE RECU]]-DONNEES[[#This Row],[ACPTE RENDU]]=0,"",DONNEES[[#This Row],[ACPTE RECU]]-DONNEES[[#This Row],[ACPTE RENDU]]),SUM(O17:W17)+DONNEES[[#This Row],[ACPTE RECU]]-DONNEES[[#This Row],[ACPTE RENDU]])</f>
        <v>171.8</v>
      </c>
      <c r="AA17" s="98">
        <f>IF(DONNEES[[#This Row],[DEP
REC]]="D",DONNEES[[#This Row],[DEPART]],"")</f>
        <v>44559</v>
      </c>
      <c r="AB17" s="9"/>
      <c r="AC17" s="60">
        <v>171.8</v>
      </c>
      <c r="AD17" s="10"/>
      <c r="AE17" s="10"/>
      <c r="AF17" s="10"/>
      <c r="AG17" s="10"/>
      <c r="AH17" s="10"/>
      <c r="AI17" s="10"/>
      <c r="AJ17" s="11"/>
      <c r="AK17" s="56">
        <f t="shared" si="1"/>
        <v>171.8</v>
      </c>
      <c r="AL17" s="13"/>
      <c r="AM17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7" s="103">
        <f>IF(DONNEES[[#This Row],[DATE
PAIEMT]]="",0,DONNEES[[#This Row],[DATE
PAIEMT]])</f>
        <v>44559</v>
      </c>
    </row>
    <row r="18" spans="1:40" x14ac:dyDescent="0.25">
      <c r="A18" s="136">
        <f>DONNEES[[#This Row],[AM]]</f>
        <v>44558</v>
      </c>
      <c r="B18" s="134">
        <f>WEEKDAY(DONNEES[[#This Row],[JOUR]],2)</f>
        <v>2</v>
      </c>
      <c r="C18" s="138">
        <f>_xlfn.ISOWEEKNUM(DONNEES[[#This Row],[AM]]-1)</f>
        <v>52</v>
      </c>
      <c r="D18" s="131">
        <v>44558</v>
      </c>
      <c r="E18" s="132">
        <f>DONNEES[[#This Row],[AM]]+1</f>
        <v>44559</v>
      </c>
      <c r="F18" s="16" t="s">
        <v>39</v>
      </c>
      <c r="G18" s="124">
        <v>15</v>
      </c>
      <c r="H18" s="15">
        <v>3</v>
      </c>
      <c r="I18" s="142" t="s">
        <v>90</v>
      </c>
      <c r="J18" s="16" t="s">
        <v>41</v>
      </c>
      <c r="K18" s="17">
        <v>259.2</v>
      </c>
      <c r="L18" s="18"/>
      <c r="M18" s="18">
        <v>1</v>
      </c>
      <c r="N18" s="19"/>
      <c r="O18" s="13">
        <f>259.2+1.8</f>
        <v>261</v>
      </c>
      <c r="P18" s="10"/>
      <c r="Q18" s="10"/>
      <c r="R18" s="10"/>
      <c r="S18" s="10"/>
      <c r="T18" s="10">
        <v>13</v>
      </c>
      <c r="U18" s="10"/>
      <c r="V18" s="10"/>
      <c r="W18" s="11">
        <v>0.9</v>
      </c>
      <c r="X18" s="9"/>
      <c r="Y18" s="11"/>
      <c r="Z18" s="8">
        <f>IF(SUM(O18:W18)=0,IF(DONNEES[[#This Row],[ACPTE RECU]]-DONNEES[[#This Row],[ACPTE RENDU]]=0,"",DONNEES[[#This Row],[ACPTE RECU]]-DONNEES[[#This Row],[ACPTE RENDU]]),SUM(O18:W18)+DONNEES[[#This Row],[ACPTE RECU]]-DONNEES[[#This Row],[ACPTE RENDU]])</f>
        <v>274.89999999999998</v>
      </c>
      <c r="AA18" s="98">
        <f>IF(DONNEES[[#This Row],[DEP
REC]]="D",DONNEES[[#This Row],[DEPART]],"")</f>
        <v>44559</v>
      </c>
      <c r="AB18" s="61">
        <v>274.89999999999998</v>
      </c>
      <c r="AC18" s="10"/>
      <c r="AD18" s="10"/>
      <c r="AE18" s="10"/>
      <c r="AF18" s="10"/>
      <c r="AG18" s="10"/>
      <c r="AH18" s="10"/>
      <c r="AI18" s="10"/>
      <c r="AJ18" s="11"/>
      <c r="AK18" s="56">
        <f t="shared" si="1"/>
        <v>274.89999999999998</v>
      </c>
      <c r="AL18" s="13"/>
      <c r="AM18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8" s="103">
        <f>IF(DONNEES[[#This Row],[DATE
PAIEMT]]="",0,DONNEES[[#This Row],[DATE
PAIEMT]])</f>
        <v>44559</v>
      </c>
    </row>
    <row r="19" spans="1:40" x14ac:dyDescent="0.25">
      <c r="A19" s="136">
        <f>DONNEES[[#This Row],[AM]]</f>
        <v>44558</v>
      </c>
      <c r="B19" s="134">
        <f>WEEKDAY(DONNEES[[#This Row],[JOUR]],2)</f>
        <v>2</v>
      </c>
      <c r="C19" s="138">
        <f>_xlfn.ISOWEEKNUM(DONNEES[[#This Row],[AM]]-1)</f>
        <v>52</v>
      </c>
      <c r="D19" s="131">
        <v>44558</v>
      </c>
      <c r="E19" s="132">
        <f>DONNEES[[#This Row],[AM]]+1</f>
        <v>44559</v>
      </c>
      <c r="F19" s="16" t="s">
        <v>39</v>
      </c>
      <c r="G19" s="124">
        <v>16</v>
      </c>
      <c r="H19" s="15">
        <v>2</v>
      </c>
      <c r="I19" s="142" t="s">
        <v>85</v>
      </c>
      <c r="J19" s="16" t="s">
        <v>41</v>
      </c>
      <c r="K19" s="17">
        <v>208.8</v>
      </c>
      <c r="L19" s="18">
        <v>2</v>
      </c>
      <c r="M19" s="18"/>
      <c r="N19" s="19">
        <v>72</v>
      </c>
      <c r="O19" s="13">
        <f>193.5+208.8+1.8+26</f>
        <v>430.1</v>
      </c>
      <c r="P19" s="10">
        <v>48</v>
      </c>
      <c r="Q19" s="10">
        <v>12</v>
      </c>
      <c r="R19" s="10">
        <v>60</v>
      </c>
      <c r="S19" s="10"/>
      <c r="T19" s="10"/>
      <c r="U19" s="10"/>
      <c r="V19" s="10"/>
      <c r="W19" s="11">
        <v>1.8</v>
      </c>
      <c r="X19" s="9"/>
      <c r="Y19" s="11"/>
      <c r="Z19" s="8">
        <f>IF(SUM(O19:W19)=0,IF(DONNEES[[#This Row],[ACPTE RECU]]-DONNEES[[#This Row],[ACPTE RENDU]]=0,"",DONNEES[[#This Row],[ACPTE RECU]]-DONNEES[[#This Row],[ACPTE RENDU]]),SUM(O19:W19)+DONNEES[[#This Row],[ACPTE RECU]]-DONNEES[[#This Row],[ACPTE RENDU]])</f>
        <v>551.9</v>
      </c>
      <c r="AA19" s="98">
        <f>IF(DONNEES[[#This Row],[DEP
REC]]="D",DONNEES[[#This Row],[DEPART]],"")</f>
        <v>44559</v>
      </c>
      <c r="AB19" s="9"/>
      <c r="AC19" s="60">
        <v>551.9</v>
      </c>
      <c r="AD19" s="10"/>
      <c r="AE19" s="10"/>
      <c r="AF19" s="10"/>
      <c r="AG19" s="10"/>
      <c r="AH19" s="10"/>
      <c r="AI19" s="10"/>
      <c r="AJ19" s="11"/>
      <c r="AK19" s="56">
        <f t="shared" si="1"/>
        <v>551.9</v>
      </c>
      <c r="AL19" s="13"/>
      <c r="AM19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9" s="103">
        <f>IF(DONNEES[[#This Row],[DATE
PAIEMT]]="",0,DONNEES[[#This Row],[DATE
PAIEMT]])</f>
        <v>44559</v>
      </c>
    </row>
    <row r="20" spans="1:40" x14ac:dyDescent="0.25">
      <c r="A20" s="136">
        <f>DONNEES[[#This Row],[AM]]</f>
        <v>44558</v>
      </c>
      <c r="B20" s="134">
        <f>WEEKDAY(DONNEES[[#This Row],[JOUR]],2)</f>
        <v>2</v>
      </c>
      <c r="C20" s="138">
        <f>_xlfn.ISOWEEKNUM(DONNEES[[#This Row],[AM]]-1)</f>
        <v>52</v>
      </c>
      <c r="D20" s="131">
        <v>44558</v>
      </c>
      <c r="E20" s="132">
        <f>DONNEES[[#This Row],[AM]]+1</f>
        <v>44559</v>
      </c>
      <c r="F20" s="16" t="s">
        <v>40</v>
      </c>
      <c r="G20" s="124">
        <v>27</v>
      </c>
      <c r="H20" s="15">
        <v>2</v>
      </c>
      <c r="I20" s="142" t="s">
        <v>88</v>
      </c>
      <c r="J20" s="16" t="s">
        <v>22</v>
      </c>
      <c r="K20" s="17">
        <v>145</v>
      </c>
      <c r="L20" s="18"/>
      <c r="M20" s="18"/>
      <c r="N20" s="19"/>
      <c r="O20" s="13"/>
      <c r="P20" s="10"/>
      <c r="Q20" s="10"/>
      <c r="R20" s="10"/>
      <c r="S20" s="10"/>
      <c r="T20" s="10"/>
      <c r="U20" s="10"/>
      <c r="V20" s="10"/>
      <c r="W20" s="11"/>
      <c r="X20" s="9"/>
      <c r="Y20" s="11"/>
      <c r="Z20" s="8" t="str">
        <f>IF(SUM(O20:W20)=0,IF(DONNEES[[#This Row],[ACPTE RECU]]-DONNEES[[#This Row],[ACPTE RENDU]]=0,"",DONNEES[[#This Row],[ACPTE RECU]]-DONNEES[[#This Row],[ACPTE RENDU]]),SUM(O20:W20)+DONNEES[[#This Row],[ACPTE RECU]]-DONNEES[[#This Row],[ACPTE RENDU]])</f>
        <v/>
      </c>
      <c r="AA20" s="98" t="str">
        <f>IF(DONNEES[[#This Row],[DEP
REC]]="D",DONNEES[[#This Row],[DEPART]],"")</f>
        <v/>
      </c>
      <c r="AB20" s="9"/>
      <c r="AC20" s="10"/>
      <c r="AD20" s="10"/>
      <c r="AE20" s="10"/>
      <c r="AF20" s="10"/>
      <c r="AG20" s="10"/>
      <c r="AH20" s="10"/>
      <c r="AI20" s="10"/>
      <c r="AJ20" s="11"/>
      <c r="AK20" s="56" t="str">
        <f t="shared" si="1"/>
        <v/>
      </c>
      <c r="AL20" s="13"/>
      <c r="AM20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20" s="103">
        <f>IF(DONNEES[[#This Row],[DATE
PAIEMT]]="",0,DONNEES[[#This Row],[DATE
PAIEMT]])</f>
        <v>0</v>
      </c>
    </row>
    <row r="21" spans="1:40" x14ac:dyDescent="0.25">
      <c r="A21" s="136">
        <f>DONNEES[[#This Row],[AM]]</f>
        <v>44558</v>
      </c>
      <c r="B21" s="134">
        <f>WEEKDAY(DONNEES[[#This Row],[JOUR]],2)</f>
        <v>2</v>
      </c>
      <c r="C21" s="138">
        <f>_xlfn.ISOWEEKNUM(DONNEES[[#This Row],[AM]]-1)</f>
        <v>52</v>
      </c>
      <c r="D21" s="131">
        <v>44558</v>
      </c>
      <c r="E21" s="132">
        <f>DONNEES[[#This Row],[AM]]+1</f>
        <v>44559</v>
      </c>
      <c r="F21" s="16" t="s">
        <v>40</v>
      </c>
      <c r="G21" s="124">
        <v>5</v>
      </c>
      <c r="H21" s="15">
        <v>2</v>
      </c>
      <c r="I21" s="142" t="s">
        <v>78</v>
      </c>
      <c r="J21" s="16" t="s">
        <v>41</v>
      </c>
      <c r="K21" s="17">
        <v>188.1</v>
      </c>
      <c r="L21" s="18">
        <v>2</v>
      </c>
      <c r="M21" s="18"/>
      <c r="N21" s="19">
        <v>16</v>
      </c>
      <c r="O21" s="13"/>
      <c r="P21" s="10"/>
      <c r="Q21" s="10"/>
      <c r="R21" s="10"/>
      <c r="S21" s="10"/>
      <c r="T21" s="10"/>
      <c r="U21" s="10"/>
      <c r="V21" s="10"/>
      <c r="W21" s="11"/>
      <c r="X21" s="9"/>
      <c r="Y21" s="11"/>
      <c r="Z21" s="8" t="str">
        <f>IF(SUM(O21:W21)=0,IF(DONNEES[[#This Row],[ACPTE RECU]]-DONNEES[[#This Row],[ACPTE RENDU]]=0,"",DONNEES[[#This Row],[ACPTE RECU]]-DONNEES[[#This Row],[ACPTE RENDU]]),SUM(O21:W21)+DONNEES[[#This Row],[ACPTE RECU]]-DONNEES[[#This Row],[ACPTE RENDU]])</f>
        <v/>
      </c>
      <c r="AA21" s="98" t="str">
        <f>IF(DONNEES[[#This Row],[DEP
REC]]="D",DONNEES[[#This Row],[DEPART]],"")</f>
        <v/>
      </c>
      <c r="AB21" s="9"/>
      <c r="AC21" s="10"/>
      <c r="AD21" s="10"/>
      <c r="AE21" s="10"/>
      <c r="AF21" s="10"/>
      <c r="AG21" s="10"/>
      <c r="AH21" s="10"/>
      <c r="AI21" s="10"/>
      <c r="AJ21" s="11"/>
      <c r="AK21" s="56" t="str">
        <f t="shared" si="1"/>
        <v/>
      </c>
      <c r="AL21" s="13"/>
      <c r="AM21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21" s="103">
        <f>IF(DONNEES[[#This Row],[DATE
PAIEMT]]="",0,DONNEES[[#This Row],[DATE
PAIEMT]])</f>
        <v>0</v>
      </c>
    </row>
    <row r="22" spans="1:40" x14ac:dyDescent="0.25">
      <c r="A22" s="136">
        <f>DONNEES[[#This Row],[AM]]</f>
        <v>44558</v>
      </c>
      <c r="B22" s="134">
        <f>WEEKDAY(DONNEES[[#This Row],[JOUR]],2)</f>
        <v>2</v>
      </c>
      <c r="C22" s="138">
        <f>_xlfn.ISOWEEKNUM(DONNEES[[#This Row],[AM]]-1)</f>
        <v>52</v>
      </c>
      <c r="D22" s="131">
        <v>44558</v>
      </c>
      <c r="E22" s="132">
        <f>DONNEES[[#This Row],[AM]]+1</f>
        <v>44559</v>
      </c>
      <c r="F22" s="16" t="s">
        <v>40</v>
      </c>
      <c r="G22" s="124">
        <v>20</v>
      </c>
      <c r="H22" s="15">
        <v>2</v>
      </c>
      <c r="I22" s="142" t="s">
        <v>80</v>
      </c>
      <c r="J22" s="16" t="s">
        <v>22</v>
      </c>
      <c r="K22" s="17">
        <v>213</v>
      </c>
      <c r="L22" s="18">
        <v>2</v>
      </c>
      <c r="M22" s="18">
        <v>1</v>
      </c>
      <c r="N22" s="19"/>
      <c r="O22" s="13"/>
      <c r="P22" s="10"/>
      <c r="Q22" s="10"/>
      <c r="R22" s="10"/>
      <c r="S22" s="10"/>
      <c r="T22" s="10"/>
      <c r="U22" s="10"/>
      <c r="V22" s="10"/>
      <c r="W22" s="11"/>
      <c r="X22" s="9"/>
      <c r="Y22" s="11"/>
      <c r="Z22" s="8" t="str">
        <f>IF(SUM(O22:W22)=0,IF(DONNEES[[#This Row],[ACPTE RECU]]-DONNEES[[#This Row],[ACPTE RENDU]]=0,"",DONNEES[[#This Row],[ACPTE RECU]]-DONNEES[[#This Row],[ACPTE RENDU]]),SUM(O22:W22)+DONNEES[[#This Row],[ACPTE RECU]]-DONNEES[[#This Row],[ACPTE RENDU]])</f>
        <v/>
      </c>
      <c r="AA22" s="98" t="str">
        <f>IF(DONNEES[[#This Row],[DEP
REC]]="D",DONNEES[[#This Row],[DEPART]],"")</f>
        <v/>
      </c>
      <c r="AB22" s="9"/>
      <c r="AC22" s="10"/>
      <c r="AD22" s="10"/>
      <c r="AE22" s="10"/>
      <c r="AF22" s="10"/>
      <c r="AG22" s="10"/>
      <c r="AH22" s="10"/>
      <c r="AI22" s="10"/>
      <c r="AJ22" s="11"/>
      <c r="AK22" s="56" t="str">
        <f t="shared" si="1"/>
        <v/>
      </c>
      <c r="AL22" s="13"/>
      <c r="AM22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22" s="103">
        <f>IF(DONNEES[[#This Row],[DATE
PAIEMT]]="",0,DONNEES[[#This Row],[DATE
PAIEMT]])</f>
        <v>0</v>
      </c>
    </row>
    <row r="23" spans="1:40" x14ac:dyDescent="0.25">
      <c r="A23" s="136">
        <f>DONNEES[[#This Row],[AM]]</f>
        <v>44558</v>
      </c>
      <c r="B23" s="134">
        <f>WEEKDAY(DONNEES[[#This Row],[JOUR]],2)</f>
        <v>2</v>
      </c>
      <c r="C23" s="138">
        <f>_xlfn.ISOWEEKNUM(DONNEES[[#This Row],[AM]]-1)</f>
        <v>52</v>
      </c>
      <c r="D23" s="131">
        <v>44558</v>
      </c>
      <c r="E23" s="132">
        <f>DONNEES[[#This Row],[AM]]+1</f>
        <v>44559</v>
      </c>
      <c r="F23" s="16" t="s">
        <v>40</v>
      </c>
      <c r="G23" s="124">
        <v>21</v>
      </c>
      <c r="H23" s="15">
        <v>1</v>
      </c>
      <c r="I23" s="142" t="s">
        <v>81</v>
      </c>
      <c r="J23" s="16" t="s">
        <v>22</v>
      </c>
      <c r="K23" s="17">
        <v>213</v>
      </c>
      <c r="L23" s="18">
        <v>1</v>
      </c>
      <c r="M23" s="18"/>
      <c r="N23" s="19"/>
      <c r="O23" s="13"/>
      <c r="P23" s="10"/>
      <c r="Q23" s="10"/>
      <c r="R23" s="10"/>
      <c r="S23" s="10"/>
      <c r="T23" s="10"/>
      <c r="U23" s="10"/>
      <c r="V23" s="10"/>
      <c r="W23" s="11"/>
      <c r="X23" s="9"/>
      <c r="Y23" s="11"/>
      <c r="Z23" s="8" t="str">
        <f>IF(SUM(O23:W23)=0,IF(DONNEES[[#This Row],[ACPTE RECU]]-DONNEES[[#This Row],[ACPTE RENDU]]=0,"",DONNEES[[#This Row],[ACPTE RECU]]-DONNEES[[#This Row],[ACPTE RENDU]]),SUM(O23:W23)+DONNEES[[#This Row],[ACPTE RECU]]-DONNEES[[#This Row],[ACPTE RENDU]])</f>
        <v/>
      </c>
      <c r="AA23" s="98" t="str">
        <f>IF(DONNEES[[#This Row],[DEP
REC]]="D",DONNEES[[#This Row],[DEPART]],"")</f>
        <v/>
      </c>
      <c r="AB23" s="9"/>
      <c r="AC23" s="10"/>
      <c r="AD23" s="10"/>
      <c r="AE23" s="10"/>
      <c r="AF23" s="10"/>
      <c r="AG23" s="10"/>
      <c r="AH23" s="10"/>
      <c r="AI23" s="10"/>
      <c r="AJ23" s="11"/>
      <c r="AK23" s="56" t="str">
        <f t="shared" si="1"/>
        <v/>
      </c>
      <c r="AL23" s="13"/>
      <c r="AM23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23" s="103">
        <f>IF(DONNEES[[#This Row],[DATE
PAIEMT]]="",0,DONNEES[[#This Row],[DATE
PAIEMT]])</f>
        <v>0</v>
      </c>
    </row>
    <row r="24" spans="1:40" x14ac:dyDescent="0.25">
      <c r="A24" s="136">
        <f>DONNEES[[#This Row],[AM]]</f>
        <v>44558</v>
      </c>
      <c r="B24" s="134">
        <f>WEEKDAY(DONNEES[[#This Row],[JOUR]],2)</f>
        <v>2</v>
      </c>
      <c r="C24" s="138">
        <f>_xlfn.ISOWEEKNUM(DONNEES[[#This Row],[AM]]-1)</f>
        <v>52</v>
      </c>
      <c r="D24" s="131">
        <v>44558</v>
      </c>
      <c r="E24" s="132">
        <f>DONNEES[[#This Row],[AM]]+1</f>
        <v>44559</v>
      </c>
      <c r="F24" s="16" t="s">
        <v>40</v>
      </c>
      <c r="G24" s="124">
        <v>22</v>
      </c>
      <c r="H24" s="15">
        <v>2</v>
      </c>
      <c r="I24" s="142" t="s">
        <v>82</v>
      </c>
      <c r="J24" s="16" t="s">
        <v>22</v>
      </c>
      <c r="K24" s="17">
        <v>213</v>
      </c>
      <c r="L24" s="18">
        <v>2</v>
      </c>
      <c r="M24" s="18"/>
      <c r="N24" s="19"/>
      <c r="O24" s="13"/>
      <c r="P24" s="10"/>
      <c r="Q24" s="10"/>
      <c r="R24" s="10"/>
      <c r="S24" s="10"/>
      <c r="T24" s="10"/>
      <c r="U24" s="10"/>
      <c r="V24" s="10"/>
      <c r="W24" s="11"/>
      <c r="X24" s="9"/>
      <c r="Y24" s="11"/>
      <c r="Z24" s="8" t="str">
        <f>IF(SUM(O24:W24)=0,IF(DONNEES[[#This Row],[ACPTE RECU]]-DONNEES[[#This Row],[ACPTE RENDU]]=0,"",DONNEES[[#This Row],[ACPTE RECU]]-DONNEES[[#This Row],[ACPTE RENDU]]),SUM(O24:W24)+DONNEES[[#This Row],[ACPTE RECU]]-DONNEES[[#This Row],[ACPTE RENDU]])</f>
        <v/>
      </c>
      <c r="AA24" s="98" t="str">
        <f>IF(DONNEES[[#This Row],[DEP
REC]]="D",DONNEES[[#This Row],[DEPART]],"")</f>
        <v/>
      </c>
      <c r="AB24" s="9"/>
      <c r="AC24" s="10"/>
      <c r="AD24" s="10"/>
      <c r="AE24" s="10"/>
      <c r="AF24" s="10"/>
      <c r="AG24" s="10"/>
      <c r="AH24" s="10"/>
      <c r="AI24" s="10"/>
      <c r="AJ24" s="11"/>
      <c r="AK24" s="56" t="str">
        <f t="shared" si="1"/>
        <v/>
      </c>
      <c r="AL24" s="13"/>
      <c r="AM24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24" s="103">
        <f>IF(DONNEES[[#This Row],[DATE
PAIEMT]]="",0,DONNEES[[#This Row],[DATE
PAIEMT]])</f>
        <v>0</v>
      </c>
    </row>
    <row r="25" spans="1:40" x14ac:dyDescent="0.25">
      <c r="A25" s="136">
        <f>DONNEES[[#This Row],[AM]]</f>
        <v>44558</v>
      </c>
      <c r="B25" s="134">
        <f>WEEKDAY(DONNEES[[#This Row],[JOUR]],2)</f>
        <v>2</v>
      </c>
      <c r="C25" s="138">
        <f>_xlfn.ISOWEEKNUM(DONNEES[[#This Row],[AM]]-1)</f>
        <v>52</v>
      </c>
      <c r="D25" s="131">
        <v>44558</v>
      </c>
      <c r="E25" s="132">
        <f>DONNEES[[#This Row],[AM]]+1</f>
        <v>44559</v>
      </c>
      <c r="F25" s="16" t="s">
        <v>40</v>
      </c>
      <c r="G25" s="124">
        <v>6</v>
      </c>
      <c r="H25" s="15">
        <v>2</v>
      </c>
      <c r="I25" s="142" t="s">
        <v>84</v>
      </c>
      <c r="J25" s="16" t="s">
        <v>22</v>
      </c>
      <c r="K25" s="17">
        <v>220</v>
      </c>
      <c r="L25" s="18">
        <v>2</v>
      </c>
      <c r="M25" s="18">
        <v>1</v>
      </c>
      <c r="N25" s="19"/>
      <c r="O25" s="13"/>
      <c r="P25" s="10"/>
      <c r="Q25" s="10"/>
      <c r="R25" s="10"/>
      <c r="S25" s="10"/>
      <c r="T25" s="10"/>
      <c r="U25" s="10"/>
      <c r="V25" s="10"/>
      <c r="W25" s="11"/>
      <c r="X25" s="9"/>
      <c r="Y25" s="11"/>
      <c r="Z25" s="8" t="str">
        <f>IF(SUM(O25:W25)=0,IF(DONNEES[[#This Row],[ACPTE RECU]]-DONNEES[[#This Row],[ACPTE RENDU]]=0,"",DONNEES[[#This Row],[ACPTE RECU]]-DONNEES[[#This Row],[ACPTE RENDU]]),SUM(O25:W25)+DONNEES[[#This Row],[ACPTE RECU]]-DONNEES[[#This Row],[ACPTE RENDU]])</f>
        <v/>
      </c>
      <c r="AA25" s="98" t="str">
        <f>IF(DONNEES[[#This Row],[DEP
REC]]="D",DONNEES[[#This Row],[DEPART]],"")</f>
        <v/>
      </c>
      <c r="AB25" s="9"/>
      <c r="AC25" s="10"/>
      <c r="AD25" s="10"/>
      <c r="AE25" s="10"/>
      <c r="AF25" s="10"/>
      <c r="AG25" s="10"/>
      <c r="AH25" s="10"/>
      <c r="AI25" s="10"/>
      <c r="AJ25" s="11"/>
      <c r="AK25" s="56" t="str">
        <f t="shared" si="1"/>
        <v/>
      </c>
      <c r="AL25" s="13"/>
      <c r="AM25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25" s="103">
        <f>IF(DONNEES[[#This Row],[DATE
PAIEMT]]="",0,DONNEES[[#This Row],[DATE
PAIEMT]])</f>
        <v>0</v>
      </c>
    </row>
    <row r="26" spans="1:40" x14ac:dyDescent="0.25">
      <c r="A26" s="136">
        <f>DONNEES[[#This Row],[AM]]</f>
        <v>44891</v>
      </c>
      <c r="B26" s="134">
        <f>WEEKDAY(DONNEES[[#This Row],[JOUR]],2)</f>
        <v>6</v>
      </c>
      <c r="C26" s="138">
        <f>_xlfn.ISOWEEKNUM(DONNEES[[#This Row],[AM]]-1)</f>
        <v>47</v>
      </c>
      <c r="D26" s="131">
        <v>44891</v>
      </c>
      <c r="E26" s="132">
        <f>DONNEES[[#This Row],[AM]]+1</f>
        <v>44892</v>
      </c>
      <c r="F26" s="16" t="s">
        <v>39</v>
      </c>
      <c r="G26" s="124">
        <v>27</v>
      </c>
      <c r="H26" s="15">
        <v>2</v>
      </c>
      <c r="I26" s="142" t="s">
        <v>53</v>
      </c>
      <c r="J26" s="16" t="s">
        <v>41</v>
      </c>
      <c r="K26" s="17">
        <v>132.30000000000001</v>
      </c>
      <c r="L26" s="18">
        <v>2</v>
      </c>
      <c r="M26" s="18"/>
      <c r="N26" s="19"/>
      <c r="O26" s="13">
        <v>133.5</v>
      </c>
      <c r="P26" s="10">
        <v>24</v>
      </c>
      <c r="Q26" s="10"/>
      <c r="R26" s="10"/>
      <c r="S26" s="10"/>
      <c r="T26" s="10"/>
      <c r="U26" s="10"/>
      <c r="V26" s="10"/>
      <c r="W26" s="11">
        <v>0.9</v>
      </c>
      <c r="X26" s="9"/>
      <c r="Y26" s="11"/>
      <c r="Z26" s="8">
        <f>IF(SUM(O26:W26)=0,IF(DONNEES[[#This Row],[ACPTE RECU]]-DONNEES[[#This Row],[ACPTE RENDU]]=0,"",DONNEES[[#This Row],[ACPTE RECU]]-DONNEES[[#This Row],[ACPTE RENDU]]),SUM(O26:W26)+DONNEES[[#This Row],[ACPTE RECU]]-DONNEES[[#This Row],[ACPTE RENDU]])</f>
        <v>158.4</v>
      </c>
      <c r="AA26" s="14">
        <v>44891</v>
      </c>
      <c r="AB26" s="102">
        <v>158.4</v>
      </c>
      <c r="AC26" s="10"/>
      <c r="AD26" s="10"/>
      <c r="AE26" s="10"/>
      <c r="AF26" s="10"/>
      <c r="AG26" s="10"/>
      <c r="AH26" s="10"/>
      <c r="AI26" s="10"/>
      <c r="AJ26" s="11"/>
      <c r="AK26" s="56">
        <f t="shared" ref="AK26:AK43" si="2">IF(SUM(AB26:AJ26)=0,"",SUM(AB26:AJ26))</f>
        <v>158.4</v>
      </c>
      <c r="AL26" s="13"/>
      <c r="AM26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26" s="123">
        <f>IF(DONNEES[[#This Row],[DATE
PAIEMT]]="",0,DONNEES[[#This Row],[DATE
PAIEMT]])</f>
        <v>44891</v>
      </c>
    </row>
    <row r="27" spans="1:40" x14ac:dyDescent="0.25">
      <c r="A27" s="136">
        <f>DONNEES[[#This Row],[AM]]</f>
        <v>44891</v>
      </c>
      <c r="B27" s="134">
        <f>WEEKDAY(DONNEES[[#This Row],[JOUR]],2)</f>
        <v>6</v>
      </c>
      <c r="C27" s="138">
        <f>_xlfn.ISOWEEKNUM(DONNEES[[#This Row],[AM]]-1)</f>
        <v>47</v>
      </c>
      <c r="D27" s="131">
        <v>44891</v>
      </c>
      <c r="E27" s="132">
        <f>DONNEES[[#This Row],[AM]]+1</f>
        <v>44892</v>
      </c>
      <c r="F27" s="16" t="s">
        <v>39</v>
      </c>
      <c r="G27" s="124">
        <v>6</v>
      </c>
      <c r="H27" s="15">
        <v>3</v>
      </c>
      <c r="I27" s="142" t="s">
        <v>137</v>
      </c>
      <c r="J27" s="16" t="s">
        <v>41</v>
      </c>
      <c r="K27" s="17">
        <v>260</v>
      </c>
      <c r="L27" s="18"/>
      <c r="M27" s="18"/>
      <c r="N27" s="19"/>
      <c r="O27" s="13">
        <v>261.8</v>
      </c>
      <c r="P27" s="10"/>
      <c r="Q27" s="10"/>
      <c r="R27" s="10"/>
      <c r="S27" s="10"/>
      <c r="T27" s="10"/>
      <c r="U27" s="10"/>
      <c r="V27" s="10"/>
      <c r="W27" s="11">
        <v>0.9</v>
      </c>
      <c r="X27" s="9"/>
      <c r="Y27" s="11"/>
      <c r="Z27" s="8">
        <f>IF(SUM(O27:W27)=0,IF(DONNEES[[#This Row],[ACPTE RECU]]-DONNEES[[#This Row],[ACPTE RENDU]]=0,"",DONNEES[[#This Row],[ACPTE RECU]]-DONNEES[[#This Row],[ACPTE RENDU]]),SUM(O27:W27)+DONNEES[[#This Row],[ACPTE RECU]]-DONNEES[[#This Row],[ACPTE RENDU]])</f>
        <v>262.7</v>
      </c>
      <c r="AA27" s="14">
        <v>44891</v>
      </c>
      <c r="AB27" s="102">
        <v>262.7</v>
      </c>
      <c r="AC27" s="10"/>
      <c r="AD27" s="10"/>
      <c r="AE27" s="10"/>
      <c r="AF27" s="10"/>
      <c r="AG27" s="10"/>
      <c r="AH27" s="10"/>
      <c r="AI27" s="10"/>
      <c r="AJ27" s="11"/>
      <c r="AK27" s="56">
        <f t="shared" si="2"/>
        <v>262.7</v>
      </c>
      <c r="AL27" s="13"/>
      <c r="AM27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27" s="123">
        <f>IF(DONNEES[[#This Row],[DATE
PAIEMT]]="",0,DONNEES[[#This Row],[DATE
PAIEMT]])</f>
        <v>44891</v>
      </c>
    </row>
    <row r="28" spans="1:40" x14ac:dyDescent="0.25">
      <c r="A28" s="136">
        <f>DONNEES[[#This Row],[AM]]</f>
        <v>44891</v>
      </c>
      <c r="B28" s="134">
        <f>WEEKDAY(DONNEES[[#This Row],[JOUR]],2)</f>
        <v>6</v>
      </c>
      <c r="C28" s="138">
        <f>_xlfn.ISOWEEKNUM(DONNEES[[#This Row],[AM]]-1)</f>
        <v>47</v>
      </c>
      <c r="D28" s="131">
        <v>44891</v>
      </c>
      <c r="E28" s="132">
        <f>DONNEES[[#This Row],[AM]]+1</f>
        <v>44892</v>
      </c>
      <c r="F28" s="16" t="s">
        <v>39</v>
      </c>
      <c r="G28" s="124">
        <v>14</v>
      </c>
      <c r="H28" s="15">
        <v>2</v>
      </c>
      <c r="I28" s="142" t="s">
        <v>138</v>
      </c>
      <c r="J28" s="16" t="s">
        <v>22</v>
      </c>
      <c r="K28" s="17">
        <v>219</v>
      </c>
      <c r="L28" s="18">
        <v>2</v>
      </c>
      <c r="M28" s="18"/>
      <c r="N28" s="19"/>
      <c r="O28" s="13">
        <v>219.9</v>
      </c>
      <c r="P28" s="10">
        <v>24</v>
      </c>
      <c r="Q28" s="10"/>
      <c r="R28" s="10"/>
      <c r="S28" s="10"/>
      <c r="T28" s="10"/>
      <c r="U28" s="10"/>
      <c r="V28" s="10"/>
      <c r="W28" s="11">
        <v>0.9</v>
      </c>
      <c r="X28" s="9"/>
      <c r="Y28" s="11"/>
      <c r="Z28" s="8">
        <f>IF(SUM(O28:W28)=0,IF(DONNEES[[#This Row],[ACPTE RECU]]-DONNEES[[#This Row],[ACPTE RENDU]]=0,"",DONNEES[[#This Row],[ACPTE RECU]]-DONNEES[[#This Row],[ACPTE RENDU]]),SUM(O28:W28)+DONNEES[[#This Row],[ACPTE RECU]]-DONNEES[[#This Row],[ACPTE RENDU]])</f>
        <v>244.8</v>
      </c>
      <c r="AA28" s="14">
        <v>44891</v>
      </c>
      <c r="AB28" s="102">
        <v>244.8</v>
      </c>
      <c r="AC28" s="10"/>
      <c r="AD28" s="10"/>
      <c r="AE28" s="10"/>
      <c r="AF28" s="10"/>
      <c r="AG28" s="10"/>
      <c r="AH28" s="10"/>
      <c r="AI28" s="10"/>
      <c r="AJ28" s="11"/>
      <c r="AK28" s="56">
        <f t="shared" si="2"/>
        <v>244.8</v>
      </c>
      <c r="AL28" s="13"/>
      <c r="AM28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28" s="123">
        <f>IF(DONNEES[[#This Row],[DATE
PAIEMT]]="",0,DONNEES[[#This Row],[DATE
PAIEMT]])</f>
        <v>44891</v>
      </c>
    </row>
    <row r="29" spans="1:40" x14ac:dyDescent="0.25">
      <c r="A29" s="136">
        <f>DONNEES[[#This Row],[AM]]</f>
        <v>44891</v>
      </c>
      <c r="B29" s="134">
        <f>WEEKDAY(DONNEES[[#This Row],[JOUR]],2)</f>
        <v>6</v>
      </c>
      <c r="C29" s="138">
        <f>_xlfn.ISOWEEKNUM(DONNEES[[#This Row],[AM]]-1)</f>
        <v>47</v>
      </c>
      <c r="D29" s="131">
        <v>44891</v>
      </c>
      <c r="E29" s="132">
        <f>DONNEES[[#This Row],[AM]]+1</f>
        <v>44892</v>
      </c>
      <c r="F29" s="16" t="s">
        <v>39</v>
      </c>
      <c r="G29" s="124">
        <v>5</v>
      </c>
      <c r="H29" s="15">
        <v>2</v>
      </c>
      <c r="I29" s="142" t="s">
        <v>135</v>
      </c>
      <c r="J29" s="16" t="s">
        <v>41</v>
      </c>
      <c r="K29" s="17">
        <v>172.8</v>
      </c>
      <c r="L29" s="18">
        <v>2</v>
      </c>
      <c r="M29" s="18"/>
      <c r="N29" s="19"/>
      <c r="O29" s="13">
        <v>173.7</v>
      </c>
      <c r="P29" s="10">
        <v>24</v>
      </c>
      <c r="Q29" s="10"/>
      <c r="R29" s="10"/>
      <c r="S29" s="10"/>
      <c r="T29" s="10"/>
      <c r="U29" s="10"/>
      <c r="V29" s="10"/>
      <c r="W29" s="11">
        <v>0.9</v>
      </c>
      <c r="X29" s="9"/>
      <c r="Y29" s="11"/>
      <c r="Z29" s="8">
        <f>IF(SUM(O29:W29)=0,IF(DONNEES[[#This Row],[ACPTE RECU]]-DONNEES[[#This Row],[ACPTE RENDU]]=0,"",DONNEES[[#This Row],[ACPTE RECU]]-DONNEES[[#This Row],[ACPTE RENDU]]),SUM(O29:W29)+DONNEES[[#This Row],[ACPTE RECU]]-DONNEES[[#This Row],[ACPTE RENDU]])</f>
        <v>198.6</v>
      </c>
      <c r="AA29" s="14">
        <f>IF(DONNEES[[#This Row],[DEP
REC]]="D",DONNEES[[#This Row],[DEPART]],"")</f>
        <v>44892</v>
      </c>
      <c r="AB29" s="102">
        <v>198.6</v>
      </c>
      <c r="AC29" s="10"/>
      <c r="AD29" s="10"/>
      <c r="AE29" s="10"/>
      <c r="AF29" s="10"/>
      <c r="AG29" s="10"/>
      <c r="AH29" s="10"/>
      <c r="AI29" s="10"/>
      <c r="AJ29" s="11"/>
      <c r="AK29" s="56">
        <f t="shared" si="2"/>
        <v>198.6</v>
      </c>
      <c r="AL29" s="13"/>
      <c r="AM29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29" s="123">
        <f>IF(DONNEES[[#This Row],[DATE
PAIEMT]]="",0,DONNEES[[#This Row],[DATE
PAIEMT]])</f>
        <v>44892</v>
      </c>
    </row>
    <row r="30" spans="1:40" x14ac:dyDescent="0.25">
      <c r="A30" s="136">
        <f>DONNEES[[#This Row],[AM]]</f>
        <v>44891</v>
      </c>
      <c r="B30" s="134">
        <f>WEEKDAY(DONNEES[[#This Row],[JOUR]],2)</f>
        <v>6</v>
      </c>
      <c r="C30" s="138">
        <f>_xlfn.ISOWEEKNUM(DONNEES[[#This Row],[AM]]-1)</f>
        <v>47</v>
      </c>
      <c r="D30" s="131">
        <v>44891</v>
      </c>
      <c r="E30" s="132">
        <f>DONNEES[[#This Row],[AM]]+1</f>
        <v>44892</v>
      </c>
      <c r="F30" s="16" t="s">
        <v>39</v>
      </c>
      <c r="G30" s="124">
        <v>12</v>
      </c>
      <c r="H30" s="15">
        <v>2</v>
      </c>
      <c r="I30" s="142" t="s">
        <v>130</v>
      </c>
      <c r="J30" s="16" t="s">
        <v>22</v>
      </c>
      <c r="K30" s="17">
        <v>145</v>
      </c>
      <c r="L30" s="18"/>
      <c r="M30" s="18"/>
      <c r="N30" s="19">
        <v>8</v>
      </c>
      <c r="O30" s="13">
        <f>145.9*2</f>
        <v>291.8</v>
      </c>
      <c r="P30" s="10"/>
      <c r="Q30" s="10">
        <v>8</v>
      </c>
      <c r="R30" s="10"/>
      <c r="S30" s="10"/>
      <c r="T30" s="10"/>
      <c r="U30" s="10"/>
      <c r="V30" s="10"/>
      <c r="W30" s="11">
        <v>1.8</v>
      </c>
      <c r="X30" s="9"/>
      <c r="Y30" s="11"/>
      <c r="Z30" s="8">
        <f>IF(SUM(O30:W30)=0,IF(DONNEES[[#This Row],[ACPTE RECU]]-DONNEES[[#This Row],[ACPTE RENDU]]=0,"",DONNEES[[#This Row],[ACPTE RECU]]-DONNEES[[#This Row],[ACPTE RENDU]]),SUM(O30:W30)+DONNEES[[#This Row],[ACPTE RECU]]-DONNEES[[#This Row],[ACPTE RENDU]])</f>
        <v>301.60000000000002</v>
      </c>
      <c r="AA30" s="14">
        <f>IF(DONNEES[[#This Row],[DEP
REC]]="D",DONNEES[[#This Row],[DEPART]],"")</f>
        <v>44892</v>
      </c>
      <c r="AB30" s="102">
        <v>301.60000000000002</v>
      </c>
      <c r="AC30" s="10"/>
      <c r="AD30" s="10"/>
      <c r="AE30" s="10"/>
      <c r="AF30" s="10"/>
      <c r="AG30" s="10"/>
      <c r="AH30" s="10"/>
      <c r="AI30" s="10"/>
      <c r="AJ30" s="11"/>
      <c r="AK30" s="56">
        <f t="shared" si="2"/>
        <v>301.60000000000002</v>
      </c>
      <c r="AL30" s="13"/>
      <c r="AM30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30" s="123">
        <f>IF(DONNEES[[#This Row],[DATE
PAIEMT]]="",0,DONNEES[[#This Row],[DATE
PAIEMT]])</f>
        <v>44892</v>
      </c>
    </row>
    <row r="31" spans="1:40" x14ac:dyDescent="0.25">
      <c r="A31" s="136">
        <f>DONNEES[[#This Row],[AM]]</f>
        <v>44891</v>
      </c>
      <c r="B31" s="134">
        <f>WEEKDAY(DONNEES[[#This Row],[JOUR]],2)</f>
        <v>6</v>
      </c>
      <c r="C31" s="138">
        <f>_xlfn.ISOWEEKNUM(DONNEES[[#This Row],[AM]]-1)</f>
        <v>47</v>
      </c>
      <c r="D31" s="131">
        <v>44891</v>
      </c>
      <c r="E31" s="132">
        <f>DONNEES[[#This Row],[AM]]+1</f>
        <v>44892</v>
      </c>
      <c r="F31" s="16" t="s">
        <v>39</v>
      </c>
      <c r="G31" s="124">
        <v>20</v>
      </c>
      <c r="H31" s="15">
        <v>2</v>
      </c>
      <c r="I31" s="142" t="s">
        <v>131</v>
      </c>
      <c r="J31" s="16" t="s">
        <v>41</v>
      </c>
      <c r="K31" s="17">
        <v>147.6</v>
      </c>
      <c r="L31" s="18"/>
      <c r="M31" s="18"/>
      <c r="N31" s="19"/>
      <c r="O31" s="13">
        <f>2*148.5</f>
        <v>297</v>
      </c>
      <c r="P31" s="10">
        <v>24</v>
      </c>
      <c r="Q31" s="10"/>
      <c r="R31" s="10"/>
      <c r="S31" s="10"/>
      <c r="T31" s="10"/>
      <c r="U31" s="10"/>
      <c r="V31" s="10"/>
      <c r="W31" s="11">
        <v>1.8</v>
      </c>
      <c r="X31" s="9"/>
      <c r="Y31" s="11"/>
      <c r="Z31" s="8">
        <f>IF(SUM(O31:W31)=0,IF(DONNEES[[#This Row],[ACPTE RECU]]-DONNEES[[#This Row],[ACPTE RENDU]]=0,"",DONNEES[[#This Row],[ACPTE RECU]]-DONNEES[[#This Row],[ACPTE RENDU]]),SUM(O31:W31)+DONNEES[[#This Row],[ACPTE RECU]]-DONNEES[[#This Row],[ACPTE RENDU]])</f>
        <v>322.8</v>
      </c>
      <c r="AA31" s="14">
        <f>IF(DONNEES[[#This Row],[DEP
REC]]="D",DONNEES[[#This Row],[DEPART]],"")</f>
        <v>44892</v>
      </c>
      <c r="AB31" s="102">
        <v>322.8</v>
      </c>
      <c r="AC31" s="10"/>
      <c r="AD31" s="10"/>
      <c r="AE31" s="10"/>
      <c r="AF31" s="10"/>
      <c r="AG31" s="10"/>
      <c r="AH31" s="10"/>
      <c r="AI31" s="10"/>
      <c r="AJ31" s="11"/>
      <c r="AK31" s="56">
        <f t="shared" si="2"/>
        <v>322.8</v>
      </c>
      <c r="AL31" s="13"/>
      <c r="AM31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31" s="123">
        <f>IF(DONNEES[[#This Row],[DATE
PAIEMT]]="",0,DONNEES[[#This Row],[DATE
PAIEMT]])</f>
        <v>44892</v>
      </c>
    </row>
    <row r="32" spans="1:40" x14ac:dyDescent="0.25">
      <c r="A32" s="136">
        <f>DONNEES[[#This Row],[AM]]</f>
        <v>44891</v>
      </c>
      <c r="B32" s="134">
        <f>WEEKDAY(DONNEES[[#This Row],[JOUR]],2)</f>
        <v>6</v>
      </c>
      <c r="C32" s="138">
        <f>_xlfn.ISOWEEKNUM(DONNEES[[#This Row],[AM]]-1)</f>
        <v>47</v>
      </c>
      <c r="D32" s="131">
        <v>44891</v>
      </c>
      <c r="E32" s="132">
        <f>DONNEES[[#This Row],[AM]]+1</f>
        <v>44892</v>
      </c>
      <c r="F32" s="16" t="s">
        <v>39</v>
      </c>
      <c r="G32" s="124">
        <v>21</v>
      </c>
      <c r="H32" s="15">
        <v>1</v>
      </c>
      <c r="I32" s="142" t="s">
        <v>132</v>
      </c>
      <c r="J32" s="16" t="s">
        <v>22</v>
      </c>
      <c r="K32" s="17">
        <v>155</v>
      </c>
      <c r="L32" s="18"/>
      <c r="M32" s="18"/>
      <c r="N32" s="19"/>
      <c r="O32" s="13">
        <f>155*2</f>
        <v>310</v>
      </c>
      <c r="P32" s="10"/>
      <c r="Q32" s="10"/>
      <c r="R32" s="10"/>
      <c r="S32" s="10"/>
      <c r="T32" s="10"/>
      <c r="U32" s="10"/>
      <c r="V32" s="10"/>
      <c r="W32" s="11">
        <v>1.8</v>
      </c>
      <c r="X32" s="9"/>
      <c r="Y32" s="11"/>
      <c r="Z32" s="8">
        <f>IF(SUM(O32:W32)=0,IF(DONNEES[[#This Row],[ACPTE RECU]]-DONNEES[[#This Row],[ACPTE RENDU]]=0,"",DONNEES[[#This Row],[ACPTE RECU]]-DONNEES[[#This Row],[ACPTE RENDU]]),SUM(O32:W32)+DONNEES[[#This Row],[ACPTE RECU]]-DONNEES[[#This Row],[ACPTE RENDU]])</f>
        <v>311.8</v>
      </c>
      <c r="AA32" s="14">
        <f>IF(DONNEES[[#This Row],[DEP
REC]]="D",DONNEES[[#This Row],[DEPART]],"")</f>
        <v>44892</v>
      </c>
      <c r="AB32" s="102">
        <v>311.8</v>
      </c>
      <c r="AC32" s="10"/>
      <c r="AD32" s="10"/>
      <c r="AE32" s="10"/>
      <c r="AF32" s="10"/>
      <c r="AG32" s="10"/>
      <c r="AH32" s="10"/>
      <c r="AI32" s="10"/>
      <c r="AJ32" s="11"/>
      <c r="AK32" s="56">
        <f t="shared" si="2"/>
        <v>311.8</v>
      </c>
      <c r="AL32" s="13"/>
      <c r="AM32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32" s="123">
        <f>IF(DONNEES[[#This Row],[DATE
PAIEMT]]="",0,DONNEES[[#This Row],[DATE
PAIEMT]])</f>
        <v>44892</v>
      </c>
    </row>
    <row r="33" spans="1:40" x14ac:dyDescent="0.25">
      <c r="A33" s="136">
        <f>DONNEES[[#This Row],[AM]]</f>
        <v>44891</v>
      </c>
      <c r="B33" s="134">
        <f>WEEKDAY(DONNEES[[#This Row],[JOUR]],2)</f>
        <v>6</v>
      </c>
      <c r="C33" s="138">
        <f>_xlfn.ISOWEEKNUM(DONNEES[[#This Row],[AM]]-1)</f>
        <v>47</v>
      </c>
      <c r="D33" s="131">
        <v>44891</v>
      </c>
      <c r="E33" s="132">
        <f>DONNEES[[#This Row],[AM]]+1</f>
        <v>44892</v>
      </c>
      <c r="F33" s="16" t="s">
        <v>39</v>
      </c>
      <c r="G33" s="124">
        <v>22</v>
      </c>
      <c r="H33" s="15">
        <v>1</v>
      </c>
      <c r="I33" s="142" t="s">
        <v>133</v>
      </c>
      <c r="J33" s="16" t="s">
        <v>41</v>
      </c>
      <c r="K33" s="17">
        <v>153</v>
      </c>
      <c r="L33" s="18"/>
      <c r="M33" s="18"/>
      <c r="N33" s="19"/>
      <c r="O33" s="13">
        <f>153*2</f>
        <v>306</v>
      </c>
      <c r="P33" s="10"/>
      <c r="Q33" s="10">
        <v>4</v>
      </c>
      <c r="R33" s="10"/>
      <c r="S33" s="10"/>
      <c r="T33" s="10"/>
      <c r="U33" s="10"/>
      <c r="V33" s="10"/>
      <c r="W33" s="11">
        <v>1.8</v>
      </c>
      <c r="X33" s="9"/>
      <c r="Y33" s="11"/>
      <c r="Z33" s="8">
        <f>IF(SUM(O33:W33)=0,IF(DONNEES[[#This Row],[ACPTE RECU]]-DONNEES[[#This Row],[ACPTE RENDU]]=0,"",DONNEES[[#This Row],[ACPTE RECU]]-DONNEES[[#This Row],[ACPTE RENDU]]),SUM(O33:W33)+DONNEES[[#This Row],[ACPTE RECU]]-DONNEES[[#This Row],[ACPTE RENDU]])</f>
        <v>311.8</v>
      </c>
      <c r="AA33" s="14">
        <f>IF(DONNEES[[#This Row],[DEP
REC]]="D",DONNEES[[#This Row],[DEPART]],"")</f>
        <v>44892</v>
      </c>
      <c r="AB33" s="102">
        <v>311.8</v>
      </c>
      <c r="AC33" s="10"/>
      <c r="AD33" s="10"/>
      <c r="AE33" s="10"/>
      <c r="AF33" s="10"/>
      <c r="AG33" s="10"/>
      <c r="AH33" s="10"/>
      <c r="AI33" s="10"/>
      <c r="AJ33" s="11"/>
      <c r="AK33" s="56">
        <f t="shared" si="2"/>
        <v>311.8</v>
      </c>
      <c r="AL33" s="13"/>
      <c r="AM33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33" s="123">
        <f>IF(DONNEES[[#This Row],[DATE
PAIEMT]]="",0,DONNEES[[#This Row],[DATE
PAIEMT]])</f>
        <v>44892</v>
      </c>
    </row>
    <row r="34" spans="1:40" x14ac:dyDescent="0.25">
      <c r="A34" s="136">
        <f>DONNEES[[#This Row],[AM]]</f>
        <v>44891</v>
      </c>
      <c r="B34" s="134">
        <f>WEEKDAY(DONNEES[[#This Row],[JOUR]],2)</f>
        <v>6</v>
      </c>
      <c r="C34" s="138">
        <f>_xlfn.ISOWEEKNUM(DONNEES[[#This Row],[AM]]-1)</f>
        <v>47</v>
      </c>
      <c r="D34" s="131">
        <v>44891</v>
      </c>
      <c r="E34" s="132">
        <f>DONNEES[[#This Row],[AM]]+1</f>
        <v>44892</v>
      </c>
      <c r="F34" s="16" t="s">
        <v>39</v>
      </c>
      <c r="G34" s="124">
        <v>25</v>
      </c>
      <c r="H34" s="15">
        <v>2</v>
      </c>
      <c r="I34" s="142" t="s">
        <v>136</v>
      </c>
      <c r="J34" s="16" t="s">
        <v>41</v>
      </c>
      <c r="K34" s="17">
        <v>172.8</v>
      </c>
      <c r="L34" s="18">
        <v>2</v>
      </c>
      <c r="M34" s="18">
        <v>1</v>
      </c>
      <c r="N34" s="19"/>
      <c r="O34" s="13">
        <v>173.7</v>
      </c>
      <c r="P34" s="10">
        <v>24</v>
      </c>
      <c r="Q34" s="10"/>
      <c r="R34" s="10"/>
      <c r="S34" s="10"/>
      <c r="T34" s="10">
        <v>15</v>
      </c>
      <c r="U34" s="10"/>
      <c r="V34" s="10"/>
      <c r="W34" s="11">
        <v>0.9</v>
      </c>
      <c r="X34" s="9"/>
      <c r="Y34" s="11"/>
      <c r="Z34" s="8">
        <f>IF(SUM(O34:W34)=0,IF(DONNEES[[#This Row],[ACPTE RECU]]-DONNEES[[#This Row],[ACPTE RENDU]]=0,"",DONNEES[[#This Row],[ACPTE RECU]]-DONNEES[[#This Row],[ACPTE RENDU]]),SUM(O34:W34)+DONNEES[[#This Row],[ACPTE RECU]]-DONNEES[[#This Row],[ACPTE RENDU]])</f>
        <v>213.6</v>
      </c>
      <c r="AA34" s="14">
        <f>IF(DONNEES[[#This Row],[DEP
REC]]="D",DONNEES[[#This Row],[DEPART]],"")</f>
        <v>44892</v>
      </c>
      <c r="AB34" s="102">
        <v>213.6</v>
      </c>
      <c r="AC34" s="10"/>
      <c r="AD34" s="10"/>
      <c r="AE34" s="10"/>
      <c r="AF34" s="10"/>
      <c r="AG34" s="10"/>
      <c r="AH34" s="10"/>
      <c r="AI34" s="10"/>
      <c r="AJ34" s="11"/>
      <c r="AK34" s="56">
        <f t="shared" si="2"/>
        <v>213.6</v>
      </c>
      <c r="AL34" s="13"/>
      <c r="AM34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34" s="123">
        <f>IF(DONNEES[[#This Row],[DATE
PAIEMT]]="",0,DONNEES[[#This Row],[DATE
PAIEMT]])</f>
        <v>44892</v>
      </c>
    </row>
    <row r="35" spans="1:40" x14ac:dyDescent="0.25">
      <c r="A35" s="136">
        <f>DONNEES[[#This Row],[AM]]</f>
        <v>44891</v>
      </c>
      <c r="B35" s="134">
        <f>WEEKDAY(DONNEES[[#This Row],[JOUR]],2)</f>
        <v>6</v>
      </c>
      <c r="C35" s="138">
        <f>_xlfn.ISOWEEKNUM(DONNEES[[#This Row],[AM]]-1)</f>
        <v>47</v>
      </c>
      <c r="D35" s="131">
        <v>44891</v>
      </c>
      <c r="E35" s="132">
        <f>DONNEES[[#This Row],[AM]]+1</f>
        <v>44892</v>
      </c>
      <c r="F35" s="16" t="s">
        <v>39</v>
      </c>
      <c r="G35" s="124">
        <v>15</v>
      </c>
      <c r="H35" s="15">
        <v>3</v>
      </c>
      <c r="I35" s="142" t="s">
        <v>134</v>
      </c>
      <c r="J35" s="16" t="s">
        <v>41</v>
      </c>
      <c r="K35" s="17">
        <v>208.8</v>
      </c>
      <c r="L35" s="18"/>
      <c r="M35" s="18"/>
      <c r="N35" s="19"/>
      <c r="O35" s="13">
        <f>208.8*2+3.6</f>
        <v>421.20000000000005</v>
      </c>
      <c r="P35" s="10">
        <v>36</v>
      </c>
      <c r="Q35" s="10"/>
      <c r="R35" s="10"/>
      <c r="S35" s="10"/>
      <c r="T35" s="10"/>
      <c r="U35" s="10"/>
      <c r="V35" s="10"/>
      <c r="W35" s="11">
        <v>1.8</v>
      </c>
      <c r="X35" s="9"/>
      <c r="Y35" s="11"/>
      <c r="Z35" s="8">
        <f>IF(SUM(O35:W35)=0,IF(DONNEES[[#This Row],[ACPTE RECU]]-DONNEES[[#This Row],[ACPTE RENDU]]=0,"",DONNEES[[#This Row],[ACPTE RECU]]-DONNEES[[#This Row],[ACPTE RENDU]]),SUM(O35:W35)+DONNEES[[#This Row],[ACPTE RECU]]-DONNEES[[#This Row],[ACPTE RENDU]])</f>
        <v>459.00000000000006</v>
      </c>
      <c r="AA35" s="14">
        <f>IF(DONNEES[[#This Row],[DEP
REC]]="D",DONNEES[[#This Row],[DEPART]],"")</f>
        <v>44892</v>
      </c>
      <c r="AB35" s="102">
        <v>459</v>
      </c>
      <c r="AC35" s="10"/>
      <c r="AD35" s="10"/>
      <c r="AE35" s="10"/>
      <c r="AF35" s="10"/>
      <c r="AG35" s="10"/>
      <c r="AH35" s="10"/>
      <c r="AI35" s="10"/>
      <c r="AJ35" s="11"/>
      <c r="AK35" s="56">
        <f t="shared" si="2"/>
        <v>459</v>
      </c>
      <c r="AL35" s="13"/>
      <c r="AM35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35" s="123">
        <f>IF(DONNEES[[#This Row],[DATE
PAIEMT]]="",0,DONNEES[[#This Row],[DATE
PAIEMT]])</f>
        <v>44892</v>
      </c>
    </row>
    <row r="36" spans="1:40" x14ac:dyDescent="0.25">
      <c r="A36" s="136">
        <f>DONNEES[[#This Row],[AM]]</f>
        <v>44891</v>
      </c>
      <c r="B36" s="134">
        <f>WEEKDAY(DONNEES[[#This Row],[JOUR]],2)</f>
        <v>6</v>
      </c>
      <c r="C36" s="138">
        <f>_xlfn.ISOWEEKNUM(DONNEES[[#This Row],[AM]]-1)</f>
        <v>47</v>
      </c>
      <c r="D36" s="131">
        <v>44891</v>
      </c>
      <c r="E36" s="132">
        <f>DONNEES[[#This Row],[AM]]+1</f>
        <v>44892</v>
      </c>
      <c r="F36" s="16" t="s">
        <v>40</v>
      </c>
      <c r="G36" s="124">
        <v>1</v>
      </c>
      <c r="H36" s="15">
        <v>2</v>
      </c>
      <c r="I36" s="142" t="s">
        <v>123</v>
      </c>
      <c r="J36" s="16" t="s">
        <v>22</v>
      </c>
      <c r="K36" s="17">
        <v>150</v>
      </c>
      <c r="L36" s="18">
        <v>1</v>
      </c>
      <c r="M36" s="18">
        <v>1</v>
      </c>
      <c r="N36" s="19"/>
      <c r="O36" s="13"/>
      <c r="P36" s="10"/>
      <c r="Q36" s="10"/>
      <c r="R36" s="10"/>
      <c r="S36" s="10"/>
      <c r="T36" s="10"/>
      <c r="U36" s="10"/>
      <c r="V36" s="10"/>
      <c r="W36" s="11"/>
      <c r="X36" s="9"/>
      <c r="Y36" s="11"/>
      <c r="Z36" s="8" t="str">
        <f>IF(SUM(O36:W36)=0,IF(DONNEES[[#This Row],[ACPTE RECU]]-DONNEES[[#This Row],[ACPTE RENDU]]=0,"",DONNEES[[#This Row],[ACPTE RECU]]-DONNEES[[#This Row],[ACPTE RENDU]]),SUM(O36:W36)+DONNEES[[#This Row],[ACPTE RECU]]-DONNEES[[#This Row],[ACPTE RENDU]])</f>
        <v/>
      </c>
      <c r="AA36" s="14" t="str">
        <f>IF(DONNEES[[#This Row],[DEP
REC]]="D",DONNEES[[#This Row],[DEPART]],"")</f>
        <v/>
      </c>
      <c r="AB36" s="55"/>
      <c r="AC36" s="10"/>
      <c r="AD36" s="10"/>
      <c r="AE36" s="10"/>
      <c r="AF36" s="10"/>
      <c r="AG36" s="10"/>
      <c r="AH36" s="10"/>
      <c r="AI36" s="10"/>
      <c r="AJ36" s="11"/>
      <c r="AK36" s="56" t="str">
        <f t="shared" si="2"/>
        <v/>
      </c>
      <c r="AL36" s="13"/>
      <c r="AM36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36" s="123">
        <f>IF(DONNEES[[#This Row],[DATE
PAIEMT]]="",0,DONNEES[[#This Row],[DATE
PAIEMT]])</f>
        <v>0</v>
      </c>
    </row>
    <row r="37" spans="1:40" x14ac:dyDescent="0.25">
      <c r="A37" s="136">
        <f>DONNEES[[#This Row],[AM]]</f>
        <v>44891</v>
      </c>
      <c r="B37" s="134">
        <f>WEEKDAY(DONNEES[[#This Row],[JOUR]],2)</f>
        <v>6</v>
      </c>
      <c r="C37" s="138">
        <f>_xlfn.ISOWEEKNUM(DONNEES[[#This Row],[AM]]-1)</f>
        <v>47</v>
      </c>
      <c r="D37" s="131">
        <v>44891</v>
      </c>
      <c r="E37" s="132">
        <f>DONNEES[[#This Row],[AM]]+1</f>
        <v>44892</v>
      </c>
      <c r="F37" s="16" t="s">
        <v>40</v>
      </c>
      <c r="G37" s="124">
        <v>26</v>
      </c>
      <c r="H37" s="15">
        <v>2</v>
      </c>
      <c r="I37" s="142" t="s">
        <v>129</v>
      </c>
      <c r="J37" s="16" t="s">
        <v>41</v>
      </c>
      <c r="K37" s="17">
        <v>162.9</v>
      </c>
      <c r="L37" s="18"/>
      <c r="M37" s="18">
        <v>1</v>
      </c>
      <c r="N37" s="19"/>
      <c r="O37" s="13"/>
      <c r="P37" s="10"/>
      <c r="Q37" s="10"/>
      <c r="R37" s="10"/>
      <c r="S37" s="10"/>
      <c r="T37" s="10"/>
      <c r="U37" s="10"/>
      <c r="V37" s="10"/>
      <c r="W37" s="11"/>
      <c r="X37" s="9"/>
      <c r="Y37" s="11"/>
      <c r="Z37" s="8" t="str">
        <f>IF(SUM(O37:W37)=0,IF(DONNEES[[#This Row],[ACPTE RECU]]-DONNEES[[#This Row],[ACPTE RENDU]]=0,"",DONNEES[[#This Row],[ACPTE RECU]]-DONNEES[[#This Row],[ACPTE RENDU]]),SUM(O37:W37)+DONNEES[[#This Row],[ACPTE RECU]]-DONNEES[[#This Row],[ACPTE RENDU]])</f>
        <v/>
      </c>
      <c r="AA37" s="14" t="str">
        <f>IF(DONNEES[[#This Row],[DEP
REC]]="D",DONNEES[[#This Row],[DEPART]],"")</f>
        <v/>
      </c>
      <c r="AB37" s="55"/>
      <c r="AC37" s="10"/>
      <c r="AD37" s="10"/>
      <c r="AE37" s="10"/>
      <c r="AF37" s="10"/>
      <c r="AG37" s="10"/>
      <c r="AH37" s="10"/>
      <c r="AI37" s="10"/>
      <c r="AJ37" s="11"/>
      <c r="AK37" s="56" t="str">
        <f t="shared" si="2"/>
        <v/>
      </c>
      <c r="AL37" s="13"/>
      <c r="AM37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37" s="123">
        <f>IF(DONNEES[[#This Row],[DATE
PAIEMT]]="",0,DONNEES[[#This Row],[DATE
PAIEMT]])</f>
        <v>0</v>
      </c>
    </row>
    <row r="38" spans="1:40" x14ac:dyDescent="0.25">
      <c r="A38" s="136">
        <f>DONNEES[[#This Row],[AM]]</f>
        <v>44891</v>
      </c>
      <c r="B38" s="134">
        <f>WEEKDAY(DONNEES[[#This Row],[JOUR]],2)</f>
        <v>6</v>
      </c>
      <c r="C38" s="138">
        <f>_xlfn.ISOWEEKNUM(DONNEES[[#This Row],[AM]]-1)</f>
        <v>47</v>
      </c>
      <c r="D38" s="131">
        <v>44891</v>
      </c>
      <c r="E38" s="132">
        <f>DONNEES[[#This Row],[AM]]+1</f>
        <v>44892</v>
      </c>
      <c r="F38" s="16" t="s">
        <v>40</v>
      </c>
      <c r="G38" s="124">
        <v>16</v>
      </c>
      <c r="H38" s="15">
        <v>2</v>
      </c>
      <c r="I38" s="142" t="s">
        <v>139</v>
      </c>
      <c r="J38" s="16" t="s">
        <v>41</v>
      </c>
      <c r="K38" s="17">
        <v>208.8</v>
      </c>
      <c r="L38" s="18"/>
      <c r="M38" s="18"/>
      <c r="N38" s="19"/>
      <c r="O38" s="13"/>
      <c r="P38" s="10"/>
      <c r="Q38" s="10"/>
      <c r="R38" s="10"/>
      <c r="S38" s="10"/>
      <c r="T38" s="10"/>
      <c r="U38" s="10"/>
      <c r="V38" s="10"/>
      <c r="W38" s="11"/>
      <c r="X38" s="9"/>
      <c r="Y38" s="11"/>
      <c r="Z38" s="8" t="str">
        <f>IF(SUM(O38:W38)=0,IF(DONNEES[[#This Row],[ACPTE RECU]]-DONNEES[[#This Row],[ACPTE RENDU]]=0,"",DONNEES[[#This Row],[ACPTE RECU]]-DONNEES[[#This Row],[ACPTE RENDU]]),SUM(O38:W38)+DONNEES[[#This Row],[ACPTE RECU]]-DONNEES[[#This Row],[ACPTE RENDU]])</f>
        <v/>
      </c>
      <c r="AA38" s="14" t="str">
        <f>IF(DONNEES[[#This Row],[DEP
REC]]="D",DONNEES[[#This Row],[DEPART]],"")</f>
        <v/>
      </c>
      <c r="AB38" s="55"/>
      <c r="AC38" s="10"/>
      <c r="AD38" s="10"/>
      <c r="AE38" s="10"/>
      <c r="AF38" s="10"/>
      <c r="AG38" s="10"/>
      <c r="AH38" s="10"/>
      <c r="AI38" s="10"/>
      <c r="AJ38" s="11"/>
      <c r="AK38" s="56" t="str">
        <f t="shared" si="2"/>
        <v/>
      </c>
      <c r="AL38" s="13"/>
      <c r="AM38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38" s="123">
        <f>IF(DONNEES[[#This Row],[DATE
PAIEMT]]="",0,DONNEES[[#This Row],[DATE
PAIEMT]])</f>
        <v>0</v>
      </c>
    </row>
    <row r="39" spans="1:40" x14ac:dyDescent="0.25">
      <c r="A39" s="136">
        <f>DONNEES[[#This Row],[AM]]</f>
        <v>44892</v>
      </c>
      <c r="B39" s="134">
        <f>WEEKDAY(DONNEES[[#This Row],[JOUR]],2)</f>
        <v>7</v>
      </c>
      <c r="C39" s="138">
        <f>_xlfn.ISOWEEKNUM(DONNEES[[#This Row],[AM]]-1)</f>
        <v>47</v>
      </c>
      <c r="D39" s="131">
        <v>44892</v>
      </c>
      <c r="E39" s="132">
        <f>DONNEES[[#This Row],[AM]]+1</f>
        <v>44893</v>
      </c>
      <c r="F39" s="16" t="s">
        <v>39</v>
      </c>
      <c r="G39" s="124">
        <v>26</v>
      </c>
      <c r="H39" s="15">
        <v>2</v>
      </c>
      <c r="I39" s="142" t="s">
        <v>129</v>
      </c>
      <c r="J39" s="16" t="s">
        <v>41</v>
      </c>
      <c r="K39" s="17">
        <v>162.9</v>
      </c>
      <c r="L39" s="18"/>
      <c r="M39" s="18">
        <v>1</v>
      </c>
      <c r="N39" s="19"/>
      <c r="O39" s="13">
        <f>163.8*3+127.8</f>
        <v>619.20000000000005</v>
      </c>
      <c r="P39" s="10"/>
      <c r="Q39" s="10"/>
      <c r="R39" s="10"/>
      <c r="S39" s="10"/>
      <c r="T39" s="10">
        <v>30</v>
      </c>
      <c r="U39" s="10"/>
      <c r="V39" s="10"/>
      <c r="W39" s="11">
        <v>3.6</v>
      </c>
      <c r="X39" s="9"/>
      <c r="Y39" s="11"/>
      <c r="Z39" s="8">
        <f>IF(SUM(O39:W39)=0,IF(DONNEES[[#This Row],[ACPTE RECU]]-DONNEES[[#This Row],[ACPTE RENDU]]=0,"",DONNEES[[#This Row],[ACPTE RECU]]-DONNEES[[#This Row],[ACPTE RENDU]]),SUM(O39:W39)+DONNEES[[#This Row],[ACPTE RECU]]-DONNEES[[#This Row],[ACPTE RENDU]])</f>
        <v>652.80000000000007</v>
      </c>
      <c r="AA39" s="14">
        <v>44892</v>
      </c>
      <c r="AB39" s="102">
        <v>652.79999999999995</v>
      </c>
      <c r="AC39" s="10"/>
      <c r="AD39" s="10"/>
      <c r="AE39" s="10"/>
      <c r="AF39" s="10"/>
      <c r="AG39" s="10"/>
      <c r="AH39" s="10"/>
      <c r="AI39" s="10"/>
      <c r="AJ39" s="11"/>
      <c r="AK39" s="56">
        <f t="shared" si="2"/>
        <v>652.79999999999995</v>
      </c>
      <c r="AL39" s="13"/>
      <c r="AM39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39" s="123">
        <f>IF(DONNEES[[#This Row],[DATE
PAIEMT]]="",0,DONNEES[[#This Row],[DATE
PAIEMT]])</f>
        <v>44892</v>
      </c>
    </row>
    <row r="40" spans="1:40" x14ac:dyDescent="0.25">
      <c r="A40" s="136">
        <f>DONNEES[[#This Row],[AM]]</f>
        <v>44892</v>
      </c>
      <c r="B40" s="134">
        <f>WEEKDAY(DONNEES[[#This Row],[JOUR]],2)</f>
        <v>7</v>
      </c>
      <c r="C40" s="138">
        <f>_xlfn.ISOWEEKNUM(DONNEES[[#This Row],[AM]]-1)</f>
        <v>47</v>
      </c>
      <c r="D40" s="131">
        <v>44892</v>
      </c>
      <c r="E40" s="132">
        <f>DONNEES[[#This Row],[AM]]+1</f>
        <v>44893</v>
      </c>
      <c r="F40" s="16" t="s">
        <v>39</v>
      </c>
      <c r="G40" s="124">
        <v>14</v>
      </c>
      <c r="H40" s="15">
        <v>2</v>
      </c>
      <c r="I40" s="142" t="s">
        <v>143</v>
      </c>
      <c r="J40" s="16" t="s">
        <v>41</v>
      </c>
      <c r="K40" s="17">
        <v>91.8</v>
      </c>
      <c r="L40" s="18"/>
      <c r="M40" s="18"/>
      <c r="N40" s="19"/>
      <c r="O40" s="13">
        <v>92.7</v>
      </c>
      <c r="P40" s="10"/>
      <c r="Q40" s="10"/>
      <c r="R40" s="10"/>
      <c r="S40" s="10"/>
      <c r="T40" s="10"/>
      <c r="U40" s="10"/>
      <c r="V40" s="10"/>
      <c r="W40" s="11">
        <v>0.9</v>
      </c>
      <c r="X40" s="9"/>
      <c r="Y40" s="11"/>
      <c r="Z40" s="8">
        <f>IF(SUM(O40:W40)=0,IF(DONNEES[[#This Row],[ACPTE RECU]]-DONNEES[[#This Row],[ACPTE RENDU]]=0,"",DONNEES[[#This Row],[ACPTE RECU]]-DONNEES[[#This Row],[ACPTE RENDU]]),SUM(O40:W40)+DONNEES[[#This Row],[ACPTE RECU]]-DONNEES[[#This Row],[ACPTE RENDU]])</f>
        <v>93.600000000000009</v>
      </c>
      <c r="AA40" s="14">
        <v>44892</v>
      </c>
      <c r="AB40" s="55"/>
      <c r="AC40" s="10"/>
      <c r="AD40" s="10"/>
      <c r="AE40" s="10"/>
      <c r="AF40" s="10"/>
      <c r="AG40" s="10"/>
      <c r="AH40" s="10">
        <v>93.6</v>
      </c>
      <c r="AI40" s="10"/>
      <c r="AJ40" s="11"/>
      <c r="AK40" s="56">
        <f t="shared" si="2"/>
        <v>93.6</v>
      </c>
      <c r="AL40" s="13"/>
      <c r="AM40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40" s="123">
        <f>IF(DONNEES[[#This Row],[DATE
PAIEMT]]="",0,DONNEES[[#This Row],[DATE
PAIEMT]])</f>
        <v>44892</v>
      </c>
    </row>
    <row r="41" spans="1:40" x14ac:dyDescent="0.25">
      <c r="A41" s="136">
        <f>DONNEES[[#This Row],[AM]]</f>
        <v>44892</v>
      </c>
      <c r="B41" s="134">
        <f>WEEKDAY(DONNEES[[#This Row],[JOUR]],2)</f>
        <v>7</v>
      </c>
      <c r="C41" s="138">
        <f>_xlfn.ISOWEEKNUM(DONNEES[[#This Row],[AM]]-1)</f>
        <v>47</v>
      </c>
      <c r="D41" s="131">
        <v>44892</v>
      </c>
      <c r="E41" s="132">
        <f>DONNEES[[#This Row],[AM]]+1</f>
        <v>44893</v>
      </c>
      <c r="F41" s="16" t="s">
        <v>39</v>
      </c>
      <c r="G41" s="124">
        <v>1</v>
      </c>
      <c r="H41" s="15">
        <v>2</v>
      </c>
      <c r="I41" s="142" t="s">
        <v>123</v>
      </c>
      <c r="J41" s="16" t="s">
        <v>22</v>
      </c>
      <c r="K41" s="17">
        <v>150</v>
      </c>
      <c r="L41" s="18">
        <v>1</v>
      </c>
      <c r="M41" s="18">
        <v>1</v>
      </c>
      <c r="N41" s="19"/>
      <c r="O41" s="13"/>
      <c r="P41" s="10"/>
      <c r="Q41" s="10"/>
      <c r="R41" s="10"/>
      <c r="S41" s="10"/>
      <c r="T41" s="10">
        <v>55</v>
      </c>
      <c r="U41" s="10"/>
      <c r="V41" s="10"/>
      <c r="W41" s="11"/>
      <c r="X41" s="9"/>
      <c r="Y41" s="11"/>
      <c r="Z41" s="8">
        <f>IF(SUM(O41:W41)=0,IF(DONNEES[[#This Row],[ACPTE RECU]]-DONNEES[[#This Row],[ACPTE RENDU]]=0,"",DONNEES[[#This Row],[ACPTE RECU]]-DONNEES[[#This Row],[ACPTE RENDU]]),SUM(O41:W41)+DONNEES[[#This Row],[ACPTE RECU]]-DONNEES[[#This Row],[ACPTE RENDU]])</f>
        <v>55</v>
      </c>
      <c r="AA41" s="14">
        <f>IF(DONNEES[[#This Row],[DEP
REC]]="D",DONNEES[[#This Row],[DEPART]],"")</f>
        <v>44893</v>
      </c>
      <c r="AB41" s="102">
        <v>55</v>
      </c>
      <c r="AC41" s="10"/>
      <c r="AD41" s="10"/>
      <c r="AE41" s="10"/>
      <c r="AF41" s="10"/>
      <c r="AG41" s="10"/>
      <c r="AH41" s="10"/>
      <c r="AI41" s="10"/>
      <c r="AJ41" s="11"/>
      <c r="AK41" s="56">
        <f t="shared" si="2"/>
        <v>55</v>
      </c>
      <c r="AL41" s="13"/>
      <c r="AM41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41" s="123">
        <f>IF(DONNEES[[#This Row],[DATE
PAIEMT]]="",0,DONNEES[[#This Row],[DATE
PAIEMT]])</f>
        <v>44893</v>
      </c>
    </row>
    <row r="42" spans="1:40" x14ac:dyDescent="0.25">
      <c r="A42" s="136">
        <f>DONNEES[[#This Row],[AM]]</f>
        <v>44892</v>
      </c>
      <c r="B42" s="134">
        <f>WEEKDAY(DONNEES[[#This Row],[JOUR]],2)</f>
        <v>7</v>
      </c>
      <c r="C42" s="138">
        <f>_xlfn.ISOWEEKNUM(DONNEES[[#This Row],[AM]]-1)</f>
        <v>47</v>
      </c>
      <c r="D42" s="131">
        <v>44892</v>
      </c>
      <c r="E42" s="132">
        <f>DONNEES[[#This Row],[AM]]+1</f>
        <v>44893</v>
      </c>
      <c r="F42" s="16" t="s">
        <v>39</v>
      </c>
      <c r="G42" s="124">
        <v>21</v>
      </c>
      <c r="H42" s="15">
        <v>2</v>
      </c>
      <c r="I42" s="142" t="s">
        <v>142</v>
      </c>
      <c r="J42" s="16" t="s">
        <v>41</v>
      </c>
      <c r="K42" s="17">
        <v>91.8</v>
      </c>
      <c r="L42" s="18">
        <v>2</v>
      </c>
      <c r="M42" s="18"/>
      <c r="N42" s="19"/>
      <c r="O42" s="13">
        <v>92.7</v>
      </c>
      <c r="P42" s="10">
        <v>24</v>
      </c>
      <c r="Q42" s="10"/>
      <c r="R42" s="10"/>
      <c r="S42" s="10"/>
      <c r="T42" s="10"/>
      <c r="U42" s="10"/>
      <c r="V42" s="10"/>
      <c r="W42" s="11">
        <v>0.9</v>
      </c>
      <c r="X42" s="9"/>
      <c r="Y42" s="11"/>
      <c r="Z42" s="8">
        <f>IF(SUM(O42:W42)=0,IF(DONNEES[[#This Row],[ACPTE RECU]]-DONNEES[[#This Row],[ACPTE RENDU]]=0,"",DONNEES[[#This Row],[ACPTE RECU]]-DONNEES[[#This Row],[ACPTE RENDU]]),SUM(O42:W42)+DONNEES[[#This Row],[ACPTE RECU]]-DONNEES[[#This Row],[ACPTE RENDU]])</f>
        <v>117.60000000000001</v>
      </c>
      <c r="AA42" s="14">
        <f>IF(DONNEES[[#This Row],[DEP
REC]]="D",DONNEES[[#This Row],[DEPART]],"")</f>
        <v>44893</v>
      </c>
      <c r="AB42" s="102">
        <v>117.6</v>
      </c>
      <c r="AC42" s="10"/>
      <c r="AD42" s="10"/>
      <c r="AE42" s="10"/>
      <c r="AF42" s="10"/>
      <c r="AG42" s="10"/>
      <c r="AH42" s="10"/>
      <c r="AI42" s="10"/>
      <c r="AJ42" s="11"/>
      <c r="AK42" s="56">
        <f t="shared" si="2"/>
        <v>117.6</v>
      </c>
      <c r="AL42" s="13"/>
      <c r="AM42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42" s="123">
        <f>IF(DONNEES[[#This Row],[DATE
PAIEMT]]="",0,DONNEES[[#This Row],[DATE
PAIEMT]])</f>
        <v>44893</v>
      </c>
    </row>
    <row r="43" spans="1:40" x14ac:dyDescent="0.25">
      <c r="A43" s="136">
        <f>DONNEES[[#This Row],[AM]]</f>
        <v>44892</v>
      </c>
      <c r="B43" s="134">
        <f>WEEKDAY(DONNEES[[#This Row],[JOUR]],2)</f>
        <v>7</v>
      </c>
      <c r="C43" s="138">
        <f>_xlfn.ISOWEEKNUM(DONNEES[[#This Row],[AM]]-1)</f>
        <v>47</v>
      </c>
      <c r="D43" s="131">
        <v>44892</v>
      </c>
      <c r="E43" s="132">
        <f>DONNEES[[#This Row],[AM]]+1</f>
        <v>44893</v>
      </c>
      <c r="F43" s="16" t="s">
        <v>39</v>
      </c>
      <c r="G43" s="124">
        <v>16</v>
      </c>
      <c r="H43" s="15">
        <v>2</v>
      </c>
      <c r="I43" s="142" t="s">
        <v>139</v>
      </c>
      <c r="J43" s="16" t="s">
        <v>41</v>
      </c>
      <c r="K43" s="17">
        <v>167.4</v>
      </c>
      <c r="L43" s="18"/>
      <c r="M43" s="18"/>
      <c r="N43" s="19">
        <v>4</v>
      </c>
      <c r="O43" s="13">
        <f>209.7+168.3-0.2</f>
        <v>377.8</v>
      </c>
      <c r="P43" s="10"/>
      <c r="Q43" s="10"/>
      <c r="R43" s="10">
        <v>4</v>
      </c>
      <c r="S43" s="10"/>
      <c r="T43" s="10"/>
      <c r="U43" s="10"/>
      <c r="V43" s="10"/>
      <c r="W43" s="11">
        <v>1.8</v>
      </c>
      <c r="X43" s="9"/>
      <c r="Y43" s="11"/>
      <c r="Z43" s="8">
        <f>IF(SUM(O43:W43)=0,IF(DONNEES[[#This Row],[ACPTE RECU]]-DONNEES[[#This Row],[ACPTE RENDU]]=0,"",DONNEES[[#This Row],[ACPTE RECU]]-DONNEES[[#This Row],[ACPTE RENDU]]),SUM(O43:W43)+DONNEES[[#This Row],[ACPTE RECU]]-DONNEES[[#This Row],[ACPTE RENDU]])</f>
        <v>383.6</v>
      </c>
      <c r="AA43" s="14">
        <f>IF(DONNEES[[#This Row],[DEP
REC]]="D",DONNEES[[#This Row],[DEPART]],"")</f>
        <v>44893</v>
      </c>
      <c r="AB43" s="102">
        <v>383.6</v>
      </c>
      <c r="AC43" s="10"/>
      <c r="AD43" s="10"/>
      <c r="AE43" s="10"/>
      <c r="AF43" s="10"/>
      <c r="AG43" s="10"/>
      <c r="AH43" s="10"/>
      <c r="AI43" s="10"/>
      <c r="AJ43" s="11"/>
      <c r="AK43" s="56">
        <f t="shared" si="2"/>
        <v>383.6</v>
      </c>
      <c r="AL43" s="13"/>
      <c r="AM43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43" s="123">
        <f>IF(DONNEES[[#This Row],[DATE
PAIEMT]]="",0,DONNEES[[#This Row],[DATE
PAIEMT]])</f>
        <v>44893</v>
      </c>
    </row>
    <row r="44" spans="1:40" x14ac:dyDescent="0.25">
      <c r="A44" s="136">
        <f>DONNEES[[#This Row],[AM]]</f>
        <v>44892</v>
      </c>
      <c r="B44" s="134">
        <f>WEEKDAY(DONNEES[[#This Row],[JOUR]],2)</f>
        <v>7</v>
      </c>
      <c r="C44" s="138">
        <f>_xlfn.ISOWEEKNUM(DONNEES[[#This Row],[AM]]-1)</f>
        <v>47</v>
      </c>
      <c r="D44" s="131">
        <v>44892</v>
      </c>
      <c r="E44" s="132">
        <f>DONNEES[[#This Row],[AM]]+1</f>
        <v>44893</v>
      </c>
      <c r="F44" s="16" t="s">
        <v>40</v>
      </c>
      <c r="G44" s="124">
        <v>12</v>
      </c>
      <c r="H44" s="15">
        <v>2</v>
      </c>
      <c r="I44" s="142" t="s">
        <v>140</v>
      </c>
      <c r="J44" s="16" t="s">
        <v>41</v>
      </c>
      <c r="K44" s="17">
        <v>117</v>
      </c>
      <c r="L44" s="18">
        <v>2</v>
      </c>
      <c r="M44" s="18"/>
      <c r="N44" s="19"/>
      <c r="O44" s="13"/>
      <c r="P44" s="10"/>
      <c r="Q44" s="10"/>
      <c r="R44" s="10"/>
      <c r="S44" s="10"/>
      <c r="T44" s="10"/>
      <c r="U44" s="10"/>
      <c r="V44" s="10"/>
      <c r="W44" s="11"/>
      <c r="X44" s="9"/>
      <c r="Y44" s="11"/>
      <c r="Z44" s="8" t="str">
        <f>IF(SUM(O44:W44)=0,IF(DONNEES[[#This Row],[ACPTE RECU]]-DONNEES[[#This Row],[ACPTE RENDU]]=0,"",DONNEES[[#This Row],[ACPTE RECU]]-DONNEES[[#This Row],[ACPTE RENDU]]),SUM(O44:W44)+DONNEES[[#This Row],[ACPTE RECU]]-DONNEES[[#This Row],[ACPTE RENDU]])</f>
        <v/>
      </c>
      <c r="AA44" s="14" t="str">
        <f>IF(DONNEES[[#This Row],[DEP
REC]]="D",DONNEES[[#This Row],[DEPART]],"")</f>
        <v/>
      </c>
      <c r="AB44" s="55"/>
      <c r="AC44" s="10"/>
      <c r="AD44" s="10"/>
      <c r="AE44" s="10"/>
      <c r="AF44" s="10"/>
      <c r="AG44" s="10"/>
      <c r="AH44" s="10"/>
      <c r="AI44" s="10"/>
      <c r="AJ44" s="11"/>
      <c r="AK44" s="56" t="str">
        <f t="shared" ref="AK44:AK81" si="3">IF(SUM(AB44:AJ44)=0,"",SUM(AB44:AJ44))</f>
        <v/>
      </c>
      <c r="AL44" s="13"/>
      <c r="AM44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44" s="123">
        <f>IF(DONNEES[[#This Row],[DATE
PAIEMT]]="",0,DONNEES[[#This Row],[DATE
PAIEMT]])</f>
        <v>0</v>
      </c>
    </row>
    <row r="45" spans="1:40" x14ac:dyDescent="0.25">
      <c r="A45" s="136">
        <f>DONNEES[[#This Row],[AM]]</f>
        <v>44892</v>
      </c>
      <c r="B45" s="134">
        <f>WEEKDAY(DONNEES[[#This Row],[JOUR]],2)</f>
        <v>7</v>
      </c>
      <c r="C45" s="138">
        <f>_xlfn.ISOWEEKNUM(DONNEES[[#This Row],[AM]]-1)</f>
        <v>47</v>
      </c>
      <c r="D45" s="131">
        <v>44892</v>
      </c>
      <c r="E45" s="132">
        <f>DONNEES[[#This Row],[AM]]+1</f>
        <v>44893</v>
      </c>
      <c r="F45" s="16" t="s">
        <v>40</v>
      </c>
      <c r="G45" s="124">
        <v>20</v>
      </c>
      <c r="H45" s="15">
        <v>1</v>
      </c>
      <c r="I45" s="142" t="s">
        <v>141</v>
      </c>
      <c r="J45" s="16" t="s">
        <v>22</v>
      </c>
      <c r="K45" s="17">
        <v>117</v>
      </c>
      <c r="L45" s="18"/>
      <c r="M45" s="18"/>
      <c r="N45" s="19"/>
      <c r="O45" s="13"/>
      <c r="P45" s="10"/>
      <c r="Q45" s="10"/>
      <c r="R45" s="10"/>
      <c r="S45" s="10"/>
      <c r="T45" s="10"/>
      <c r="U45" s="10"/>
      <c r="V45" s="10"/>
      <c r="W45" s="11"/>
      <c r="X45" s="9"/>
      <c r="Y45" s="11"/>
      <c r="Z45" s="8" t="str">
        <f>IF(SUM(O45:W45)=0,IF(DONNEES[[#This Row],[ACPTE RECU]]-DONNEES[[#This Row],[ACPTE RENDU]]=0,"",DONNEES[[#This Row],[ACPTE RECU]]-DONNEES[[#This Row],[ACPTE RENDU]]),SUM(O45:W45)+DONNEES[[#This Row],[ACPTE RECU]]-DONNEES[[#This Row],[ACPTE RENDU]])</f>
        <v/>
      </c>
      <c r="AA45" s="14" t="str">
        <f>IF(DONNEES[[#This Row],[DEP
REC]]="D",DONNEES[[#This Row],[DEPART]],"")</f>
        <v/>
      </c>
      <c r="AB45" s="55"/>
      <c r="AC45" s="10"/>
      <c r="AD45" s="10"/>
      <c r="AE45" s="10"/>
      <c r="AF45" s="10"/>
      <c r="AG45" s="10"/>
      <c r="AH45" s="10"/>
      <c r="AI45" s="10"/>
      <c r="AJ45" s="11"/>
      <c r="AK45" s="56" t="str">
        <f t="shared" si="3"/>
        <v/>
      </c>
      <c r="AL45" s="13"/>
      <c r="AM45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45" s="123">
        <f>IF(DONNEES[[#This Row],[DATE
PAIEMT]]="",0,DONNEES[[#This Row],[DATE
PAIEMT]])</f>
        <v>0</v>
      </c>
    </row>
    <row r="46" spans="1:40" x14ac:dyDescent="0.25">
      <c r="A46" s="136">
        <f>DONNEES[[#This Row],[AM]]</f>
        <v>44893</v>
      </c>
      <c r="B46" s="134">
        <f>WEEKDAY(DONNEES[[#This Row],[JOUR]],2)</f>
        <v>1</v>
      </c>
      <c r="C46" s="138">
        <f>_xlfn.ISOWEEKNUM(DONNEES[[#This Row],[AM]]-1)</f>
        <v>47</v>
      </c>
      <c r="D46" s="131">
        <v>44893</v>
      </c>
      <c r="E46" s="132">
        <f>DONNEES[[#This Row],[AM]]+1</f>
        <v>44894</v>
      </c>
      <c r="F46" s="16" t="s">
        <v>39</v>
      </c>
      <c r="G46" s="124">
        <v>16</v>
      </c>
      <c r="H46" s="15">
        <v>1</v>
      </c>
      <c r="I46" s="142" t="s">
        <v>54</v>
      </c>
      <c r="J46" s="16" t="s">
        <v>22</v>
      </c>
      <c r="K46" s="17">
        <v>140</v>
      </c>
      <c r="L46" s="18"/>
      <c r="M46" s="18">
        <v>1</v>
      </c>
      <c r="N46" s="19"/>
      <c r="O46" s="13">
        <v>140</v>
      </c>
      <c r="P46" s="10"/>
      <c r="Q46" s="10"/>
      <c r="R46" s="10"/>
      <c r="S46" s="10"/>
      <c r="T46" s="10">
        <v>15</v>
      </c>
      <c r="U46" s="10"/>
      <c r="V46" s="10"/>
      <c r="W46" s="11">
        <v>0.9</v>
      </c>
      <c r="X46" s="9"/>
      <c r="Y46" s="11"/>
      <c r="Z46" s="8">
        <f>IF(SUM(O46:W46)=0,IF(DONNEES[[#This Row],[ACPTE RECU]]-DONNEES[[#This Row],[ACPTE RENDU]]=0,"",DONNEES[[#This Row],[ACPTE RECU]]-DONNEES[[#This Row],[ACPTE RENDU]]),SUM(O46:W46)+DONNEES[[#This Row],[ACPTE RECU]]-DONNEES[[#This Row],[ACPTE RENDU]])</f>
        <v>155.9</v>
      </c>
      <c r="AA46" s="14">
        <v>44893</v>
      </c>
      <c r="AB46" s="102">
        <v>155.9</v>
      </c>
      <c r="AC46" s="10"/>
      <c r="AD46" s="10"/>
      <c r="AE46" s="10"/>
      <c r="AF46" s="10"/>
      <c r="AG46" s="10"/>
      <c r="AH46" s="10"/>
      <c r="AI46" s="10"/>
      <c r="AJ46" s="11"/>
      <c r="AK46" s="56">
        <f t="shared" si="3"/>
        <v>155.9</v>
      </c>
      <c r="AL46" s="13"/>
      <c r="AM46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46" s="123">
        <f>IF(DONNEES[[#This Row],[DATE
PAIEMT]]="",0,DONNEES[[#This Row],[DATE
PAIEMT]])</f>
        <v>44893</v>
      </c>
    </row>
    <row r="47" spans="1:40" x14ac:dyDescent="0.25">
      <c r="A47" s="136">
        <f>DONNEES[[#This Row],[AM]]</f>
        <v>44893</v>
      </c>
      <c r="B47" s="134">
        <f>WEEKDAY(DONNEES[[#This Row],[JOUR]],2)</f>
        <v>1</v>
      </c>
      <c r="C47" s="138">
        <f>_xlfn.ISOWEEKNUM(DONNEES[[#This Row],[AM]]-1)</f>
        <v>47</v>
      </c>
      <c r="D47" s="131">
        <v>44893</v>
      </c>
      <c r="E47" s="132">
        <f>DONNEES[[#This Row],[AM]]+1</f>
        <v>44894</v>
      </c>
      <c r="F47" s="16"/>
      <c r="G47" s="124"/>
      <c r="H47" s="15"/>
      <c r="I47" s="142" t="s">
        <v>124</v>
      </c>
      <c r="J47" s="16"/>
      <c r="K47" s="17"/>
      <c r="L47" s="18"/>
      <c r="M47" s="18"/>
      <c r="N47" s="19"/>
      <c r="O47" s="13"/>
      <c r="P47" s="10"/>
      <c r="Q47" s="10"/>
      <c r="R47" s="10"/>
      <c r="S47" s="10"/>
      <c r="T47" s="10"/>
      <c r="U47" s="10"/>
      <c r="V47" s="10"/>
      <c r="W47" s="11"/>
      <c r="X47" s="9"/>
      <c r="Y47" s="11"/>
      <c r="Z47" s="8" t="str">
        <f>IF(SUM(O47:W47)=0,IF(DONNEES[[#This Row],[ACPTE RECU]]-DONNEES[[#This Row],[ACPTE RENDU]]=0,"",DONNEES[[#This Row],[ACPTE RECU]]-DONNEES[[#This Row],[ACPTE RENDU]]),SUM(O47:W47)+DONNEES[[#This Row],[ACPTE RECU]]-DONNEES[[#This Row],[ACPTE RENDU]])</f>
        <v/>
      </c>
      <c r="AA47" s="14">
        <v>44893</v>
      </c>
      <c r="AB47" s="55"/>
      <c r="AC47" s="10"/>
      <c r="AD47" s="60">
        <v>-277</v>
      </c>
      <c r="AE47" s="10"/>
      <c r="AF47" s="10"/>
      <c r="AG47" s="10"/>
      <c r="AH47" s="10"/>
      <c r="AI47" s="10"/>
      <c r="AJ47" s="11"/>
      <c r="AK47" s="56">
        <f t="shared" si="3"/>
        <v>-277</v>
      </c>
      <c r="AL47" s="13"/>
      <c r="AM47" s="125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>277</v>
      </c>
      <c r="AN47" s="123">
        <f>IF(DONNEES[[#This Row],[DATE
PAIEMT]]="",0,DONNEES[[#This Row],[DATE
PAIEMT]])</f>
        <v>44893</v>
      </c>
    </row>
    <row r="48" spans="1:40" x14ac:dyDescent="0.25">
      <c r="A48" s="136">
        <f>DONNEES[[#This Row],[AM]]</f>
        <v>44893</v>
      </c>
      <c r="B48" s="134">
        <f>WEEKDAY(DONNEES[[#This Row],[JOUR]],2)</f>
        <v>1</v>
      </c>
      <c r="C48" s="138">
        <f>_xlfn.ISOWEEKNUM(DONNEES[[#This Row],[AM]]-1)</f>
        <v>47</v>
      </c>
      <c r="D48" s="131">
        <v>44893</v>
      </c>
      <c r="E48" s="132">
        <f>DONNEES[[#This Row],[AM]]+1</f>
        <v>44894</v>
      </c>
      <c r="F48" s="16" t="s">
        <v>39</v>
      </c>
      <c r="G48" s="124">
        <v>12</v>
      </c>
      <c r="H48" s="15">
        <v>2</v>
      </c>
      <c r="I48" s="142" t="s">
        <v>140</v>
      </c>
      <c r="J48" s="16" t="s">
        <v>41</v>
      </c>
      <c r="K48" s="17">
        <v>142.19999999999999</v>
      </c>
      <c r="L48" s="18">
        <v>2</v>
      </c>
      <c r="M48" s="18"/>
      <c r="N48" s="19"/>
      <c r="O48" s="13">
        <f>117.9+143.1</f>
        <v>261</v>
      </c>
      <c r="P48" s="10">
        <v>48</v>
      </c>
      <c r="Q48" s="10"/>
      <c r="R48" s="10"/>
      <c r="S48" s="10"/>
      <c r="T48" s="10"/>
      <c r="U48" s="10"/>
      <c r="V48" s="10"/>
      <c r="W48" s="11">
        <v>1.8</v>
      </c>
      <c r="X48" s="9"/>
      <c r="Y48" s="11"/>
      <c r="Z48" s="8">
        <f>IF(SUM(O48:W48)=0,IF(DONNEES[[#This Row],[ACPTE RECU]]-DONNEES[[#This Row],[ACPTE RENDU]]=0,"",DONNEES[[#This Row],[ACPTE RECU]]-DONNEES[[#This Row],[ACPTE RENDU]]),SUM(O48:W48)+DONNEES[[#This Row],[ACPTE RECU]]-DONNEES[[#This Row],[ACPTE RENDU]])</f>
        <v>310.8</v>
      </c>
      <c r="AA48" s="14">
        <f>IF(DONNEES[[#This Row],[DEP
REC]]="D",DONNEES[[#This Row],[DEPART]],"")</f>
        <v>44894</v>
      </c>
      <c r="AB48" s="102">
        <v>310.8</v>
      </c>
      <c r="AC48" s="10"/>
      <c r="AD48" s="10"/>
      <c r="AE48" s="10"/>
      <c r="AF48" s="10"/>
      <c r="AG48" s="10"/>
      <c r="AH48" s="10"/>
      <c r="AI48" s="10"/>
      <c r="AJ48" s="11"/>
      <c r="AK48" s="56">
        <f t="shared" si="3"/>
        <v>310.8</v>
      </c>
      <c r="AL48" s="13"/>
      <c r="AM48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48" s="123">
        <f>IF(DONNEES[[#This Row],[DATE
PAIEMT]]="",0,DONNEES[[#This Row],[DATE
PAIEMT]])</f>
        <v>44894</v>
      </c>
    </row>
    <row r="49" spans="1:40" x14ac:dyDescent="0.25">
      <c r="A49" s="136">
        <f>DONNEES[[#This Row],[AM]]</f>
        <v>44893</v>
      </c>
      <c r="B49" s="134">
        <f>WEEKDAY(DONNEES[[#This Row],[JOUR]],2)</f>
        <v>1</v>
      </c>
      <c r="C49" s="138">
        <f>_xlfn.ISOWEEKNUM(DONNEES[[#This Row],[AM]]-1)</f>
        <v>47</v>
      </c>
      <c r="D49" s="131">
        <v>44893</v>
      </c>
      <c r="E49" s="132">
        <f>DONNEES[[#This Row],[AM]]+1</f>
        <v>44894</v>
      </c>
      <c r="F49" s="16" t="s">
        <v>39</v>
      </c>
      <c r="G49" s="124">
        <v>20</v>
      </c>
      <c r="H49" s="15">
        <v>1</v>
      </c>
      <c r="I49" s="142" t="s">
        <v>141</v>
      </c>
      <c r="J49" s="16" t="s">
        <v>22</v>
      </c>
      <c r="K49" s="17">
        <v>175</v>
      </c>
      <c r="L49" s="18"/>
      <c r="M49" s="18"/>
      <c r="N49" s="19"/>
      <c r="O49" s="13">
        <f>117+175</f>
        <v>292</v>
      </c>
      <c r="P49" s="10"/>
      <c r="Q49" s="10"/>
      <c r="R49" s="10"/>
      <c r="S49" s="10"/>
      <c r="T49" s="10"/>
      <c r="U49" s="10"/>
      <c r="V49" s="10"/>
      <c r="W49" s="11">
        <v>1.8</v>
      </c>
      <c r="X49" s="9"/>
      <c r="Y49" s="11"/>
      <c r="Z49" s="8">
        <f>IF(SUM(O49:W49)=0,IF(DONNEES[[#This Row],[ACPTE RECU]]-DONNEES[[#This Row],[ACPTE RENDU]]=0,"",DONNEES[[#This Row],[ACPTE RECU]]-DONNEES[[#This Row],[ACPTE RENDU]]),SUM(O49:W49)+DONNEES[[#This Row],[ACPTE RECU]]-DONNEES[[#This Row],[ACPTE RENDU]])</f>
        <v>293.8</v>
      </c>
      <c r="AA49" s="14">
        <f>IF(DONNEES[[#This Row],[DEP
REC]]="D",DONNEES[[#This Row],[DEPART]],"")</f>
        <v>44894</v>
      </c>
      <c r="AB49" s="55"/>
      <c r="AC49" s="10"/>
      <c r="AD49" s="10"/>
      <c r="AE49" s="10"/>
      <c r="AF49" s="60">
        <v>293.8</v>
      </c>
      <c r="AG49" s="10"/>
      <c r="AH49" s="10"/>
      <c r="AI49" s="10"/>
      <c r="AJ49" s="11"/>
      <c r="AK49" s="56">
        <f t="shared" si="3"/>
        <v>293.8</v>
      </c>
      <c r="AL49" s="13"/>
      <c r="AM49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49" s="123">
        <f>IF(DONNEES[[#This Row],[DATE
PAIEMT]]="",0,DONNEES[[#This Row],[DATE
PAIEMT]])</f>
        <v>44894</v>
      </c>
    </row>
    <row r="50" spans="1:40" x14ac:dyDescent="0.25">
      <c r="A50" s="136">
        <f>DONNEES[[#This Row],[AM]]</f>
        <v>44893</v>
      </c>
      <c r="B50" s="134">
        <f>WEEKDAY(DONNEES[[#This Row],[JOUR]],2)</f>
        <v>1</v>
      </c>
      <c r="C50" s="138">
        <f>_xlfn.ISOWEEKNUM(DONNEES[[#This Row],[AM]]-1)</f>
        <v>47</v>
      </c>
      <c r="D50" s="131">
        <v>44893</v>
      </c>
      <c r="E50" s="132">
        <f>DONNEES[[#This Row],[AM]]+1</f>
        <v>44894</v>
      </c>
      <c r="F50" s="16" t="s">
        <v>39</v>
      </c>
      <c r="G50" s="124">
        <v>21</v>
      </c>
      <c r="H50" s="15">
        <v>1</v>
      </c>
      <c r="I50" s="142" t="s">
        <v>77</v>
      </c>
      <c r="J50" s="16" t="s">
        <v>41</v>
      </c>
      <c r="K50" s="17">
        <v>178.2</v>
      </c>
      <c r="L50" s="18"/>
      <c r="M50" s="18"/>
      <c r="N50" s="19"/>
      <c r="O50" s="13">
        <v>178.2</v>
      </c>
      <c r="P50" s="10"/>
      <c r="Q50" s="10"/>
      <c r="R50" s="10"/>
      <c r="S50" s="10"/>
      <c r="T50" s="10"/>
      <c r="U50" s="10"/>
      <c r="V50" s="10"/>
      <c r="W50" s="11">
        <v>0.9</v>
      </c>
      <c r="X50" s="9"/>
      <c r="Y50" s="11"/>
      <c r="Z50" s="8">
        <f>IF(SUM(O50:W50)=0,IF(DONNEES[[#This Row],[ACPTE RECU]]-DONNEES[[#This Row],[ACPTE RENDU]]=0,"",DONNEES[[#This Row],[ACPTE RECU]]-DONNEES[[#This Row],[ACPTE RENDU]]),SUM(O50:W50)+DONNEES[[#This Row],[ACPTE RECU]]-DONNEES[[#This Row],[ACPTE RENDU]])</f>
        <v>179.1</v>
      </c>
      <c r="AA50" s="14">
        <f>IF(DONNEES[[#This Row],[DEP
REC]]="D",DONNEES[[#This Row],[DEPART]],"")</f>
        <v>44894</v>
      </c>
      <c r="AB50" s="102">
        <v>179.1</v>
      </c>
      <c r="AC50" s="10"/>
      <c r="AD50" s="10"/>
      <c r="AE50" s="10"/>
      <c r="AF50" s="10"/>
      <c r="AG50" s="10"/>
      <c r="AH50" s="10"/>
      <c r="AI50" s="10"/>
      <c r="AJ50" s="11"/>
      <c r="AK50" s="56">
        <f t="shared" si="3"/>
        <v>179.1</v>
      </c>
      <c r="AL50" s="13"/>
      <c r="AM50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50" s="123">
        <f>IF(DONNEES[[#This Row],[DATE
PAIEMT]]="",0,DONNEES[[#This Row],[DATE
PAIEMT]])</f>
        <v>44894</v>
      </c>
    </row>
    <row r="51" spans="1:40" x14ac:dyDescent="0.25">
      <c r="A51" s="136">
        <f>DONNEES[[#This Row],[AM]]</f>
        <v>44893</v>
      </c>
      <c r="B51" s="134">
        <f>WEEKDAY(DONNEES[[#This Row],[JOUR]],2)</f>
        <v>1</v>
      </c>
      <c r="C51" s="138">
        <f>_xlfn.ISOWEEKNUM(DONNEES[[#This Row],[AM]]-1)</f>
        <v>47</v>
      </c>
      <c r="D51" s="131">
        <v>44893</v>
      </c>
      <c r="E51" s="132">
        <f>DONNEES[[#This Row],[AM]]+1</f>
        <v>44894</v>
      </c>
      <c r="F51" s="16" t="s">
        <v>39</v>
      </c>
      <c r="G51" s="124">
        <v>14</v>
      </c>
      <c r="H51" s="15">
        <v>1</v>
      </c>
      <c r="I51" s="142" t="s">
        <v>147</v>
      </c>
      <c r="J51" s="16" t="s">
        <v>41</v>
      </c>
      <c r="K51" s="17">
        <v>188.1</v>
      </c>
      <c r="L51" s="18">
        <v>1</v>
      </c>
      <c r="M51" s="18"/>
      <c r="N51" s="19"/>
      <c r="O51" s="13">
        <v>188.1</v>
      </c>
      <c r="P51" s="10">
        <v>12</v>
      </c>
      <c r="Q51" s="10"/>
      <c r="R51" s="10"/>
      <c r="S51" s="10"/>
      <c r="T51" s="10"/>
      <c r="U51" s="10"/>
      <c r="V51" s="10"/>
      <c r="W51" s="11">
        <v>0.9</v>
      </c>
      <c r="X51" s="9"/>
      <c r="Y51" s="11"/>
      <c r="Z51" s="8">
        <f>IF(SUM(O51:W51)=0,IF(DONNEES[[#This Row],[ACPTE RECU]]-DONNEES[[#This Row],[ACPTE RENDU]]=0,"",DONNEES[[#This Row],[ACPTE RECU]]-DONNEES[[#This Row],[ACPTE RENDU]]),SUM(O51:W51)+DONNEES[[#This Row],[ACPTE RECU]]-DONNEES[[#This Row],[ACPTE RENDU]])</f>
        <v>201</v>
      </c>
      <c r="AA51" s="14">
        <f>IF(DONNEES[[#This Row],[DEP
REC]]="D",DONNEES[[#This Row],[DEPART]],"")</f>
        <v>44894</v>
      </c>
      <c r="AB51" s="102">
        <v>201</v>
      </c>
      <c r="AC51" s="10"/>
      <c r="AD51" s="10"/>
      <c r="AE51" s="10"/>
      <c r="AF51" s="10"/>
      <c r="AG51" s="10"/>
      <c r="AH51" s="10"/>
      <c r="AI51" s="10"/>
      <c r="AJ51" s="11"/>
      <c r="AK51" s="56">
        <f t="shared" si="3"/>
        <v>201</v>
      </c>
      <c r="AL51" s="13"/>
      <c r="AM51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51" s="123">
        <f>IF(DONNEES[[#This Row],[DATE
PAIEMT]]="",0,DONNEES[[#This Row],[DATE
PAIEMT]])</f>
        <v>44894</v>
      </c>
    </row>
    <row r="52" spans="1:40" x14ac:dyDescent="0.25">
      <c r="A52" s="136">
        <f>DONNEES[[#This Row],[AM]]</f>
        <v>44893</v>
      </c>
      <c r="B52" s="134">
        <f>WEEKDAY(DONNEES[[#This Row],[JOUR]],2)</f>
        <v>1</v>
      </c>
      <c r="C52" s="138">
        <f>_xlfn.ISOWEEKNUM(DONNEES[[#This Row],[AM]]-1)</f>
        <v>47</v>
      </c>
      <c r="D52" s="131">
        <v>44893</v>
      </c>
      <c r="E52" s="132">
        <f>DONNEES[[#This Row],[AM]]+1</f>
        <v>44894</v>
      </c>
      <c r="F52" s="16" t="s">
        <v>40</v>
      </c>
      <c r="G52" s="124">
        <v>1</v>
      </c>
      <c r="H52" s="15">
        <v>1</v>
      </c>
      <c r="I52" s="142" t="s">
        <v>122</v>
      </c>
      <c r="J52" s="16" t="s">
        <v>22</v>
      </c>
      <c r="K52" s="17">
        <v>135</v>
      </c>
      <c r="L52" s="18">
        <v>1</v>
      </c>
      <c r="M52" s="18"/>
      <c r="N52" s="19"/>
      <c r="O52" s="13"/>
      <c r="P52" s="10"/>
      <c r="Q52" s="10"/>
      <c r="R52" s="10"/>
      <c r="S52" s="10"/>
      <c r="T52" s="10"/>
      <c r="U52" s="10"/>
      <c r="V52" s="10"/>
      <c r="W52" s="11"/>
      <c r="X52" s="9"/>
      <c r="Y52" s="11"/>
      <c r="Z52" s="8" t="str">
        <f>IF(SUM(O52:W52)=0,IF(DONNEES[[#This Row],[ACPTE RECU]]-DONNEES[[#This Row],[ACPTE RENDU]]=0,"",DONNEES[[#This Row],[ACPTE RECU]]-DONNEES[[#This Row],[ACPTE RENDU]]),SUM(O52:W52)+DONNEES[[#This Row],[ACPTE RECU]]-DONNEES[[#This Row],[ACPTE RENDU]])</f>
        <v/>
      </c>
      <c r="AA52" s="14" t="str">
        <f>IF(DONNEES[[#This Row],[DEP
REC]]="D",DONNEES[[#This Row],[DEPART]],"")</f>
        <v/>
      </c>
      <c r="AB52" s="55"/>
      <c r="AC52" s="10"/>
      <c r="AD52" s="10"/>
      <c r="AE52" s="10"/>
      <c r="AF52" s="10"/>
      <c r="AG52" s="10"/>
      <c r="AH52" s="10"/>
      <c r="AI52" s="10"/>
      <c r="AJ52" s="11"/>
      <c r="AK52" s="56" t="str">
        <f t="shared" si="3"/>
        <v/>
      </c>
      <c r="AL52" s="13"/>
      <c r="AM52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52" s="123">
        <f>IF(DONNEES[[#This Row],[DATE
PAIEMT]]="",0,DONNEES[[#This Row],[DATE
PAIEMT]])</f>
        <v>0</v>
      </c>
    </row>
    <row r="53" spans="1:40" x14ac:dyDescent="0.25">
      <c r="A53" s="136">
        <f>DONNEES[[#This Row],[AM]]</f>
        <v>44893</v>
      </c>
      <c r="B53" s="134">
        <f>WEEKDAY(DONNEES[[#This Row],[JOUR]],2)</f>
        <v>1</v>
      </c>
      <c r="C53" s="138">
        <f>_xlfn.ISOWEEKNUM(DONNEES[[#This Row],[AM]]-1)</f>
        <v>47</v>
      </c>
      <c r="D53" s="131">
        <v>44893</v>
      </c>
      <c r="E53" s="132">
        <f>DONNEES[[#This Row],[AM]]+1</f>
        <v>44894</v>
      </c>
      <c r="F53" s="16" t="s">
        <v>40</v>
      </c>
      <c r="G53" s="124">
        <v>26</v>
      </c>
      <c r="H53" s="15">
        <v>1</v>
      </c>
      <c r="I53" s="142" t="s">
        <v>144</v>
      </c>
      <c r="J53" s="16" t="s">
        <v>22</v>
      </c>
      <c r="K53" s="17">
        <v>150</v>
      </c>
      <c r="L53" s="18">
        <v>1</v>
      </c>
      <c r="M53" s="18"/>
      <c r="N53" s="19"/>
      <c r="O53" s="13"/>
      <c r="P53" s="10"/>
      <c r="Q53" s="10"/>
      <c r="R53" s="10"/>
      <c r="S53" s="10"/>
      <c r="T53" s="10"/>
      <c r="U53" s="10"/>
      <c r="V53" s="10"/>
      <c r="W53" s="11"/>
      <c r="X53" s="9"/>
      <c r="Y53" s="11"/>
      <c r="Z53" s="8" t="str">
        <f>IF(SUM(O53:W53)=0,IF(DONNEES[[#This Row],[ACPTE RECU]]-DONNEES[[#This Row],[ACPTE RENDU]]=0,"",DONNEES[[#This Row],[ACPTE RECU]]-DONNEES[[#This Row],[ACPTE RENDU]]),SUM(O53:W53)+DONNEES[[#This Row],[ACPTE RECU]]-DONNEES[[#This Row],[ACPTE RENDU]])</f>
        <v/>
      </c>
      <c r="AA53" s="14" t="str">
        <f>IF(DONNEES[[#This Row],[DEP
REC]]="D",DONNEES[[#This Row],[DEPART]],"")</f>
        <v/>
      </c>
      <c r="AB53" s="55"/>
      <c r="AC53" s="10"/>
      <c r="AD53" s="10"/>
      <c r="AE53" s="10"/>
      <c r="AF53" s="10"/>
      <c r="AG53" s="10"/>
      <c r="AH53" s="10"/>
      <c r="AI53" s="10"/>
      <c r="AJ53" s="11"/>
      <c r="AK53" s="56" t="str">
        <f t="shared" si="3"/>
        <v/>
      </c>
      <c r="AL53" s="13"/>
      <c r="AM53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53" s="123">
        <f>IF(DONNEES[[#This Row],[DATE
PAIEMT]]="",0,DONNEES[[#This Row],[DATE
PAIEMT]])</f>
        <v>0</v>
      </c>
    </row>
    <row r="54" spans="1:40" x14ac:dyDescent="0.25">
      <c r="A54" s="136">
        <f>DONNEES[[#This Row],[AM]]</f>
        <v>44893</v>
      </c>
      <c r="B54" s="134">
        <f>WEEKDAY(DONNEES[[#This Row],[JOUR]],2)</f>
        <v>1</v>
      </c>
      <c r="C54" s="138">
        <f>_xlfn.ISOWEEKNUM(DONNEES[[#This Row],[AM]]-1)</f>
        <v>47</v>
      </c>
      <c r="D54" s="131">
        <v>44893</v>
      </c>
      <c r="E54" s="132">
        <f>DONNEES[[#This Row],[AM]]+1</f>
        <v>44894</v>
      </c>
      <c r="F54" s="16" t="s">
        <v>40</v>
      </c>
      <c r="G54" s="124">
        <v>22</v>
      </c>
      <c r="H54" s="15">
        <v>1</v>
      </c>
      <c r="I54" s="142" t="s">
        <v>145</v>
      </c>
      <c r="J54" s="16" t="s">
        <v>22</v>
      </c>
      <c r="K54" s="17">
        <v>185</v>
      </c>
      <c r="L54" s="18">
        <v>1</v>
      </c>
      <c r="M54" s="18"/>
      <c r="N54" s="19">
        <v>8</v>
      </c>
      <c r="O54" s="13"/>
      <c r="P54" s="10"/>
      <c r="Q54" s="10"/>
      <c r="R54" s="10"/>
      <c r="S54" s="10"/>
      <c r="T54" s="10"/>
      <c r="U54" s="10"/>
      <c r="V54" s="10"/>
      <c r="W54" s="11"/>
      <c r="X54" s="9"/>
      <c r="Y54" s="11"/>
      <c r="Z54" s="8" t="str">
        <f>IF(SUM(O54:W54)=0,IF(DONNEES[[#This Row],[ACPTE RECU]]-DONNEES[[#This Row],[ACPTE RENDU]]=0,"",DONNEES[[#This Row],[ACPTE RECU]]-DONNEES[[#This Row],[ACPTE RENDU]]),SUM(O54:W54)+DONNEES[[#This Row],[ACPTE RECU]]-DONNEES[[#This Row],[ACPTE RENDU]])</f>
        <v/>
      </c>
      <c r="AA54" s="14" t="str">
        <f>IF(DONNEES[[#This Row],[DEP
REC]]="D",DONNEES[[#This Row],[DEPART]],"")</f>
        <v/>
      </c>
      <c r="AB54" s="55"/>
      <c r="AC54" s="10"/>
      <c r="AD54" s="10"/>
      <c r="AE54" s="10"/>
      <c r="AF54" s="10"/>
      <c r="AG54" s="10"/>
      <c r="AH54" s="10"/>
      <c r="AI54" s="10"/>
      <c r="AJ54" s="11"/>
      <c r="AK54" s="56" t="str">
        <f t="shared" si="3"/>
        <v/>
      </c>
      <c r="AL54" s="13"/>
      <c r="AM54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54" s="123">
        <f>IF(DONNEES[[#This Row],[DATE
PAIEMT]]="",0,DONNEES[[#This Row],[DATE
PAIEMT]])</f>
        <v>0</v>
      </c>
    </row>
    <row r="55" spans="1:40" x14ac:dyDescent="0.25">
      <c r="A55" s="136">
        <f>DONNEES[[#This Row],[AM]]</f>
        <v>44893</v>
      </c>
      <c r="B55" s="134">
        <f>WEEKDAY(DONNEES[[#This Row],[JOUR]],2)</f>
        <v>1</v>
      </c>
      <c r="C55" s="138">
        <f>_xlfn.ISOWEEKNUM(DONNEES[[#This Row],[AM]]-1)</f>
        <v>47</v>
      </c>
      <c r="D55" s="131">
        <v>44893</v>
      </c>
      <c r="E55" s="132">
        <f>DONNEES[[#This Row],[AM]]+1</f>
        <v>44894</v>
      </c>
      <c r="F55" s="16" t="s">
        <v>40</v>
      </c>
      <c r="G55" s="124">
        <v>25</v>
      </c>
      <c r="H55" s="15">
        <v>2</v>
      </c>
      <c r="I55" s="142" t="s">
        <v>146</v>
      </c>
      <c r="J55" s="16" t="s">
        <v>41</v>
      </c>
      <c r="K55" s="17">
        <v>188.1</v>
      </c>
      <c r="L55" s="18">
        <v>2</v>
      </c>
      <c r="M55" s="18"/>
      <c r="N55" s="19"/>
      <c r="O55" s="13"/>
      <c r="P55" s="10"/>
      <c r="Q55" s="10"/>
      <c r="R55" s="10"/>
      <c r="S55" s="10"/>
      <c r="T55" s="10"/>
      <c r="U55" s="10"/>
      <c r="V55" s="10"/>
      <c r="W55" s="11"/>
      <c r="X55" s="9"/>
      <c r="Y55" s="11"/>
      <c r="Z55" s="8" t="str">
        <f>IF(SUM(O55:W55)=0,IF(DONNEES[[#This Row],[ACPTE RECU]]-DONNEES[[#This Row],[ACPTE RENDU]]=0,"",DONNEES[[#This Row],[ACPTE RECU]]-DONNEES[[#This Row],[ACPTE RENDU]]),SUM(O55:W55)+DONNEES[[#This Row],[ACPTE RECU]]-DONNEES[[#This Row],[ACPTE RENDU]])</f>
        <v/>
      </c>
      <c r="AA55" s="14" t="str">
        <f>IF(DONNEES[[#This Row],[DEP
REC]]="D",DONNEES[[#This Row],[DEPART]],"")</f>
        <v/>
      </c>
      <c r="AB55" s="55"/>
      <c r="AC55" s="10"/>
      <c r="AD55" s="10"/>
      <c r="AE55" s="10"/>
      <c r="AF55" s="10"/>
      <c r="AG55" s="10"/>
      <c r="AH55" s="10"/>
      <c r="AI55" s="10"/>
      <c r="AJ55" s="11"/>
      <c r="AK55" s="56" t="str">
        <f t="shared" si="3"/>
        <v/>
      </c>
      <c r="AL55" s="13"/>
      <c r="AM55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55" s="123">
        <f>IF(DONNEES[[#This Row],[DATE
PAIEMT]]="",0,DONNEES[[#This Row],[DATE
PAIEMT]])</f>
        <v>0</v>
      </c>
    </row>
    <row r="56" spans="1:40" x14ac:dyDescent="0.25">
      <c r="A56" s="136">
        <f>DONNEES[[#This Row],[AM]]</f>
        <v>44894</v>
      </c>
      <c r="B56" s="134">
        <f>WEEKDAY(DONNEES[[#This Row],[JOUR]],2)</f>
        <v>2</v>
      </c>
      <c r="C56" s="138">
        <f>_xlfn.ISOWEEKNUM(DONNEES[[#This Row],[AM]]-1)</f>
        <v>48</v>
      </c>
      <c r="D56" s="131">
        <v>44894</v>
      </c>
      <c r="E56" s="132">
        <f>DONNEES[[#This Row],[AM]]+1</f>
        <v>44895</v>
      </c>
      <c r="F56" s="16" t="s">
        <v>39</v>
      </c>
      <c r="G56" s="124">
        <v>21</v>
      </c>
      <c r="H56" s="15">
        <v>1</v>
      </c>
      <c r="I56" s="142" t="s">
        <v>152</v>
      </c>
      <c r="J56" s="16" t="s">
        <v>41</v>
      </c>
      <c r="K56" s="17">
        <v>198</v>
      </c>
      <c r="L56" s="18">
        <v>1</v>
      </c>
      <c r="M56" s="18"/>
      <c r="N56" s="19"/>
      <c r="O56" s="13">
        <v>210</v>
      </c>
      <c r="P56" s="10"/>
      <c r="Q56" s="10"/>
      <c r="R56" s="10"/>
      <c r="S56" s="10"/>
      <c r="T56" s="10"/>
      <c r="U56" s="10"/>
      <c r="V56" s="10"/>
      <c r="W56" s="11">
        <v>0.9</v>
      </c>
      <c r="X56" s="9"/>
      <c r="Y56" s="11"/>
      <c r="Z56" s="8">
        <f>IF(SUM(O56:W56)=0,IF(DONNEES[[#This Row],[ACPTE RECU]]-DONNEES[[#This Row],[ACPTE RENDU]]=0,"",DONNEES[[#This Row],[ACPTE RECU]]-DONNEES[[#This Row],[ACPTE RENDU]]),SUM(O56:W56)+DONNEES[[#This Row],[ACPTE RECU]]-DONNEES[[#This Row],[ACPTE RENDU]])</f>
        <v>210.9</v>
      </c>
      <c r="AA56" s="14">
        <v>44894</v>
      </c>
      <c r="AB56" s="102">
        <v>210.9</v>
      </c>
      <c r="AC56" s="10"/>
      <c r="AD56" s="10"/>
      <c r="AE56" s="10"/>
      <c r="AF56" s="10"/>
      <c r="AG56" s="10"/>
      <c r="AH56" s="10"/>
      <c r="AI56" s="10"/>
      <c r="AJ56" s="11"/>
      <c r="AK56" s="56">
        <f t="shared" si="3"/>
        <v>210.9</v>
      </c>
      <c r="AL56" s="13"/>
      <c r="AM56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56" s="123">
        <f>IF(DONNEES[[#This Row],[DATE
PAIEMT]]="",0,DONNEES[[#This Row],[DATE
PAIEMT]])</f>
        <v>44894</v>
      </c>
    </row>
    <row r="57" spans="1:40" x14ac:dyDescent="0.25">
      <c r="A57" s="136">
        <f>DONNEES[[#This Row],[AM]]</f>
        <v>44894</v>
      </c>
      <c r="B57" s="134">
        <f>WEEKDAY(DONNEES[[#This Row],[JOUR]],2)</f>
        <v>2</v>
      </c>
      <c r="C57" s="138">
        <f>_xlfn.ISOWEEKNUM(DONNEES[[#This Row],[AM]]-1)</f>
        <v>48</v>
      </c>
      <c r="D57" s="131">
        <v>44894</v>
      </c>
      <c r="E57" s="132">
        <f>DONNEES[[#This Row],[AM]]+1</f>
        <v>44895</v>
      </c>
      <c r="F57" s="16" t="s">
        <v>39</v>
      </c>
      <c r="G57" s="124">
        <v>24</v>
      </c>
      <c r="H57" s="15">
        <v>1</v>
      </c>
      <c r="I57" s="142" t="s">
        <v>155</v>
      </c>
      <c r="J57" s="16" t="s">
        <v>41</v>
      </c>
      <c r="K57" s="17">
        <v>213.3</v>
      </c>
      <c r="L57" s="18"/>
      <c r="M57" s="18"/>
      <c r="N57" s="19"/>
      <c r="O57" s="13">
        <v>213.3</v>
      </c>
      <c r="P57" s="10"/>
      <c r="Q57" s="10"/>
      <c r="R57" s="10"/>
      <c r="S57" s="10"/>
      <c r="T57" s="10"/>
      <c r="U57" s="10"/>
      <c r="V57" s="10"/>
      <c r="W57" s="11">
        <v>0.9</v>
      </c>
      <c r="X57" s="9"/>
      <c r="Y57" s="11"/>
      <c r="Z57" s="8">
        <f>IF(SUM(O57:W57)=0,IF(DONNEES[[#This Row],[ACPTE RECU]]-DONNEES[[#This Row],[ACPTE RENDU]]=0,"",DONNEES[[#This Row],[ACPTE RECU]]-DONNEES[[#This Row],[ACPTE RENDU]]),SUM(O57:W57)+DONNEES[[#This Row],[ACPTE RECU]]-DONNEES[[#This Row],[ACPTE RENDU]])</f>
        <v>214.20000000000002</v>
      </c>
      <c r="AA57" s="14">
        <v>44894</v>
      </c>
      <c r="AB57" s="55"/>
      <c r="AC57" s="10"/>
      <c r="AD57" s="10"/>
      <c r="AE57" s="10"/>
      <c r="AF57" s="10"/>
      <c r="AG57" s="10"/>
      <c r="AH57" s="10">
        <v>214.2</v>
      </c>
      <c r="AI57" s="10"/>
      <c r="AJ57" s="11"/>
      <c r="AK57" s="56">
        <f t="shared" si="3"/>
        <v>214.2</v>
      </c>
      <c r="AL57" s="13"/>
      <c r="AM57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57" s="123">
        <f>IF(DONNEES[[#This Row],[DATE
PAIEMT]]="",0,DONNEES[[#This Row],[DATE
PAIEMT]])</f>
        <v>44894</v>
      </c>
    </row>
    <row r="58" spans="1:40" x14ac:dyDescent="0.25">
      <c r="A58" s="136">
        <f>DONNEES[[#This Row],[AM]]</f>
        <v>44894</v>
      </c>
      <c r="B58" s="134">
        <f>WEEKDAY(DONNEES[[#This Row],[JOUR]],2)</f>
        <v>2</v>
      </c>
      <c r="C58" s="138">
        <f>_xlfn.ISOWEEKNUM(DONNEES[[#This Row],[AM]]-1)</f>
        <v>48</v>
      </c>
      <c r="D58" s="131">
        <v>44894</v>
      </c>
      <c r="E58" s="132">
        <f>DONNEES[[#This Row],[AM]]+1</f>
        <v>44895</v>
      </c>
      <c r="F58" s="16" t="s">
        <v>39</v>
      </c>
      <c r="G58" s="124">
        <v>1</v>
      </c>
      <c r="H58" s="15">
        <v>1</v>
      </c>
      <c r="I58" s="142" t="s">
        <v>122</v>
      </c>
      <c r="J58" s="16" t="s">
        <v>22</v>
      </c>
      <c r="K58" s="17">
        <v>135</v>
      </c>
      <c r="L58" s="18">
        <v>1</v>
      </c>
      <c r="M58" s="18"/>
      <c r="N58" s="19"/>
      <c r="O58" s="13">
        <f>135*2</f>
        <v>270</v>
      </c>
      <c r="P58" s="10">
        <v>24</v>
      </c>
      <c r="Q58" s="10"/>
      <c r="R58" s="10"/>
      <c r="S58" s="10"/>
      <c r="T58" s="10"/>
      <c r="U58" s="10"/>
      <c r="V58" s="10"/>
      <c r="W58" s="11">
        <v>1.8</v>
      </c>
      <c r="X58" s="9"/>
      <c r="Y58" s="11"/>
      <c r="Z58" s="8">
        <f>IF(SUM(O58:W58)=0,IF(DONNEES[[#This Row],[ACPTE RECU]]-DONNEES[[#This Row],[ACPTE RENDU]]=0,"",DONNEES[[#This Row],[ACPTE RECU]]-DONNEES[[#This Row],[ACPTE RENDU]]),SUM(O58:W58)+DONNEES[[#This Row],[ACPTE RECU]]-DONNEES[[#This Row],[ACPTE RENDU]])</f>
        <v>295.8</v>
      </c>
      <c r="AA58" s="14">
        <f>IF(DONNEES[[#This Row],[DEP
REC]]="D",DONNEES[[#This Row],[DEPART]],"")</f>
        <v>44895</v>
      </c>
      <c r="AB58" s="102">
        <v>295.8</v>
      </c>
      <c r="AC58" s="10"/>
      <c r="AD58" s="10"/>
      <c r="AE58" s="10"/>
      <c r="AF58" s="10"/>
      <c r="AG58" s="10"/>
      <c r="AH58" s="10"/>
      <c r="AI58" s="10"/>
      <c r="AJ58" s="11"/>
      <c r="AK58" s="56">
        <f t="shared" si="3"/>
        <v>295.8</v>
      </c>
      <c r="AL58" s="13"/>
      <c r="AM58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58" s="123">
        <f>IF(DONNEES[[#This Row],[DATE
PAIEMT]]="",0,DONNEES[[#This Row],[DATE
PAIEMT]])</f>
        <v>44895</v>
      </c>
    </row>
    <row r="59" spans="1:40" x14ac:dyDescent="0.25">
      <c r="A59" s="136">
        <f>DONNEES[[#This Row],[AM]]</f>
        <v>44894</v>
      </c>
      <c r="B59" s="134">
        <f>WEEKDAY(DONNEES[[#This Row],[JOUR]],2)</f>
        <v>2</v>
      </c>
      <c r="C59" s="138">
        <f>_xlfn.ISOWEEKNUM(DONNEES[[#This Row],[AM]]-1)</f>
        <v>48</v>
      </c>
      <c r="D59" s="131">
        <v>44894</v>
      </c>
      <c r="E59" s="132">
        <f>DONNEES[[#This Row],[AM]]+1</f>
        <v>44895</v>
      </c>
      <c r="F59" s="16" t="s">
        <v>39</v>
      </c>
      <c r="G59" s="124">
        <v>26</v>
      </c>
      <c r="H59" s="15">
        <v>1</v>
      </c>
      <c r="I59" s="142" t="s">
        <v>144</v>
      </c>
      <c r="J59" s="16" t="s">
        <v>22</v>
      </c>
      <c r="K59" s="17">
        <v>165</v>
      </c>
      <c r="L59" s="18">
        <v>1</v>
      </c>
      <c r="M59" s="18"/>
      <c r="N59" s="19"/>
      <c r="O59" s="13">
        <f>150+165</f>
        <v>315</v>
      </c>
      <c r="P59" s="10">
        <v>24</v>
      </c>
      <c r="Q59" s="10"/>
      <c r="R59" s="10"/>
      <c r="S59" s="10"/>
      <c r="T59" s="10"/>
      <c r="U59" s="10"/>
      <c r="V59" s="10"/>
      <c r="W59" s="11">
        <v>1.8</v>
      </c>
      <c r="X59" s="9"/>
      <c r="Y59" s="11"/>
      <c r="Z59" s="8">
        <f>IF(SUM(O59:W59)=0,IF(DONNEES[[#This Row],[ACPTE RECU]]-DONNEES[[#This Row],[ACPTE RENDU]]=0,"",DONNEES[[#This Row],[ACPTE RECU]]-DONNEES[[#This Row],[ACPTE RENDU]]),SUM(O59:W59)+DONNEES[[#This Row],[ACPTE RECU]]-DONNEES[[#This Row],[ACPTE RENDU]])</f>
        <v>340.8</v>
      </c>
      <c r="AA59" s="14">
        <f>IF(DONNEES[[#This Row],[DEP
REC]]="D",DONNEES[[#This Row],[DEPART]],"")</f>
        <v>44895</v>
      </c>
      <c r="AB59" s="55"/>
      <c r="AC59" s="10"/>
      <c r="AD59" s="10"/>
      <c r="AE59" s="60">
        <v>340.8</v>
      </c>
      <c r="AF59" s="10"/>
      <c r="AG59" s="10"/>
      <c r="AH59" s="10"/>
      <c r="AI59" s="10"/>
      <c r="AJ59" s="11"/>
      <c r="AK59" s="56">
        <f t="shared" si="3"/>
        <v>340.8</v>
      </c>
      <c r="AL59" s="13"/>
      <c r="AM59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59" s="123">
        <f>IF(DONNEES[[#This Row],[DATE
PAIEMT]]="",0,DONNEES[[#This Row],[DATE
PAIEMT]])</f>
        <v>44895</v>
      </c>
    </row>
    <row r="60" spans="1:40" x14ac:dyDescent="0.25">
      <c r="A60" s="136">
        <f>DONNEES[[#This Row],[AM]]</f>
        <v>44894</v>
      </c>
      <c r="B60" s="134">
        <f>WEEKDAY(DONNEES[[#This Row],[JOUR]],2)</f>
        <v>2</v>
      </c>
      <c r="C60" s="138">
        <f>_xlfn.ISOWEEKNUM(DONNEES[[#This Row],[AM]]-1)</f>
        <v>48</v>
      </c>
      <c r="D60" s="131">
        <v>44894</v>
      </c>
      <c r="E60" s="132">
        <f>DONNEES[[#This Row],[AM]]+1</f>
        <v>44895</v>
      </c>
      <c r="F60" s="16" t="s">
        <v>39</v>
      </c>
      <c r="G60" s="124">
        <v>6</v>
      </c>
      <c r="H60" s="15">
        <v>1</v>
      </c>
      <c r="I60" s="142" t="s">
        <v>153</v>
      </c>
      <c r="J60" s="16" t="s">
        <v>22</v>
      </c>
      <c r="K60" s="17">
        <v>170</v>
      </c>
      <c r="L60" s="18"/>
      <c r="M60" s="18"/>
      <c r="N60" s="19"/>
      <c r="O60" s="13">
        <v>170</v>
      </c>
      <c r="P60" s="10"/>
      <c r="Q60" s="10"/>
      <c r="R60" s="10"/>
      <c r="S60" s="10"/>
      <c r="T60" s="10"/>
      <c r="U60" s="10"/>
      <c r="V60" s="10"/>
      <c r="W60" s="11">
        <v>0.9</v>
      </c>
      <c r="X60" s="9"/>
      <c r="Y60" s="11"/>
      <c r="Z60" s="8">
        <f>IF(SUM(O60:W60)=0,IF(DONNEES[[#This Row],[ACPTE RECU]]-DONNEES[[#This Row],[ACPTE RENDU]]=0,"",DONNEES[[#This Row],[ACPTE RECU]]-DONNEES[[#This Row],[ACPTE RENDU]]),SUM(O60:W60)+DONNEES[[#This Row],[ACPTE RECU]]-DONNEES[[#This Row],[ACPTE RENDU]])</f>
        <v>170.9</v>
      </c>
      <c r="AA60" s="14">
        <f>IF(DONNEES[[#This Row],[DEP
REC]]="D",DONNEES[[#This Row],[DEPART]],"")</f>
        <v>44895</v>
      </c>
      <c r="AB60" s="55"/>
      <c r="AC60" s="60">
        <v>170.9</v>
      </c>
      <c r="AD60" s="10"/>
      <c r="AE60" s="10"/>
      <c r="AF60" s="10"/>
      <c r="AG60" s="10"/>
      <c r="AH60" s="10"/>
      <c r="AI60" s="10"/>
      <c r="AJ60" s="11"/>
      <c r="AK60" s="56">
        <f t="shared" si="3"/>
        <v>170.9</v>
      </c>
      <c r="AL60" s="13"/>
      <c r="AM60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60" s="123">
        <f>IF(DONNEES[[#This Row],[DATE
PAIEMT]]="",0,DONNEES[[#This Row],[DATE
PAIEMT]])</f>
        <v>44895</v>
      </c>
    </row>
    <row r="61" spans="1:40" x14ac:dyDescent="0.25">
      <c r="A61" s="136">
        <f>DONNEES[[#This Row],[AM]]</f>
        <v>44894</v>
      </c>
      <c r="B61" s="134">
        <f>WEEKDAY(DONNEES[[#This Row],[JOUR]],2)</f>
        <v>2</v>
      </c>
      <c r="C61" s="138">
        <f>_xlfn.ISOWEEKNUM(DONNEES[[#This Row],[AM]]-1)</f>
        <v>48</v>
      </c>
      <c r="D61" s="131">
        <v>44894</v>
      </c>
      <c r="E61" s="132">
        <f>DONNEES[[#This Row],[AM]]+1</f>
        <v>44895</v>
      </c>
      <c r="F61" s="16" t="s">
        <v>39</v>
      </c>
      <c r="G61" s="124">
        <v>14</v>
      </c>
      <c r="H61" s="15">
        <v>1</v>
      </c>
      <c r="I61" s="142" t="s">
        <v>154</v>
      </c>
      <c r="J61" s="16" t="s">
        <v>41</v>
      </c>
      <c r="K61" s="17">
        <v>254.7</v>
      </c>
      <c r="L61" s="18">
        <v>1</v>
      </c>
      <c r="M61" s="18">
        <v>1</v>
      </c>
      <c r="N61" s="19"/>
      <c r="O61" s="13">
        <v>254.7</v>
      </c>
      <c r="P61" s="10">
        <v>12</v>
      </c>
      <c r="Q61" s="10"/>
      <c r="R61" s="10"/>
      <c r="S61" s="10"/>
      <c r="T61" s="10">
        <v>15</v>
      </c>
      <c r="U61" s="10"/>
      <c r="V61" s="10"/>
      <c r="W61" s="11">
        <v>0.9</v>
      </c>
      <c r="X61" s="9"/>
      <c r="Y61" s="11"/>
      <c r="Z61" s="8">
        <f>IF(SUM(O61:W61)=0,IF(DONNEES[[#This Row],[ACPTE RECU]]-DONNEES[[#This Row],[ACPTE RENDU]]=0,"",DONNEES[[#This Row],[ACPTE RECU]]-DONNEES[[#This Row],[ACPTE RENDU]]),SUM(O61:W61)+DONNEES[[#This Row],[ACPTE RECU]]-DONNEES[[#This Row],[ACPTE RENDU]])</f>
        <v>282.59999999999997</v>
      </c>
      <c r="AA61" s="14">
        <f>IF(DONNEES[[#This Row],[DEP
REC]]="D",DONNEES[[#This Row],[DEPART]],"")</f>
        <v>44895</v>
      </c>
      <c r="AB61" s="102">
        <v>282.60000000000002</v>
      </c>
      <c r="AC61" s="10"/>
      <c r="AD61" s="10"/>
      <c r="AE61" s="10"/>
      <c r="AF61" s="10"/>
      <c r="AG61" s="10"/>
      <c r="AH61" s="10"/>
      <c r="AI61" s="10"/>
      <c r="AJ61" s="11"/>
      <c r="AK61" s="56">
        <f t="shared" si="3"/>
        <v>282.60000000000002</v>
      </c>
      <c r="AL61" s="13"/>
      <c r="AM61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61" s="123">
        <f>IF(DONNEES[[#This Row],[DATE
PAIEMT]]="",0,DONNEES[[#This Row],[DATE
PAIEMT]])</f>
        <v>44895</v>
      </c>
    </row>
    <row r="62" spans="1:40" x14ac:dyDescent="0.25">
      <c r="A62" s="136">
        <f>DONNEES[[#This Row],[AM]]</f>
        <v>44894</v>
      </c>
      <c r="B62" s="134">
        <f>WEEKDAY(DONNEES[[#This Row],[JOUR]],2)</f>
        <v>2</v>
      </c>
      <c r="C62" s="138">
        <f>_xlfn.ISOWEEKNUM(DONNEES[[#This Row],[AM]]-1)</f>
        <v>48</v>
      </c>
      <c r="D62" s="131">
        <v>44894</v>
      </c>
      <c r="E62" s="132">
        <f>DONNEES[[#This Row],[AM]]+1</f>
        <v>44895</v>
      </c>
      <c r="F62" s="16" t="s">
        <v>39</v>
      </c>
      <c r="G62" s="124">
        <v>15</v>
      </c>
      <c r="H62" s="15">
        <v>1</v>
      </c>
      <c r="I62" s="142" t="s">
        <v>99</v>
      </c>
      <c r="J62" s="16" t="s">
        <v>41</v>
      </c>
      <c r="K62" s="17">
        <v>203</v>
      </c>
      <c r="L62" s="18">
        <v>1</v>
      </c>
      <c r="M62" s="18"/>
      <c r="N62" s="19"/>
      <c r="O62" s="13">
        <v>203</v>
      </c>
      <c r="P62" s="10">
        <v>12</v>
      </c>
      <c r="Q62" s="10"/>
      <c r="R62" s="10"/>
      <c r="S62" s="10"/>
      <c r="T62" s="10"/>
      <c r="U62" s="10"/>
      <c r="V62" s="10"/>
      <c r="W62" s="11">
        <v>0.9</v>
      </c>
      <c r="X62" s="9"/>
      <c r="Y62" s="11"/>
      <c r="Z62" s="8">
        <f>IF(SUM(O62:W62)=0,IF(DONNEES[[#This Row],[ACPTE RECU]]-DONNEES[[#This Row],[ACPTE RENDU]]=0,"",DONNEES[[#This Row],[ACPTE RECU]]-DONNEES[[#This Row],[ACPTE RENDU]]),SUM(O62:W62)+DONNEES[[#This Row],[ACPTE RECU]]-DONNEES[[#This Row],[ACPTE RENDU]])</f>
        <v>215.9</v>
      </c>
      <c r="AA62" s="14">
        <f>IF(DONNEES[[#This Row],[DEP
REC]]="D",DONNEES[[#This Row],[DEPART]],"")</f>
        <v>44895</v>
      </c>
      <c r="AB62" s="102">
        <v>215.9</v>
      </c>
      <c r="AC62" s="10"/>
      <c r="AD62" s="10"/>
      <c r="AE62" s="10"/>
      <c r="AF62" s="10"/>
      <c r="AG62" s="10"/>
      <c r="AH62" s="10"/>
      <c r="AI62" s="10"/>
      <c r="AJ62" s="11"/>
      <c r="AK62" s="56">
        <f t="shared" si="3"/>
        <v>215.9</v>
      </c>
      <c r="AL62" s="13"/>
      <c r="AM62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62" s="123">
        <f>IF(DONNEES[[#This Row],[DATE
PAIEMT]]="",0,DONNEES[[#This Row],[DATE
PAIEMT]])</f>
        <v>44895</v>
      </c>
    </row>
    <row r="63" spans="1:40" x14ac:dyDescent="0.25">
      <c r="A63" s="136">
        <f>DONNEES[[#This Row],[AM]]</f>
        <v>44894</v>
      </c>
      <c r="B63" s="134">
        <f>WEEKDAY(DONNEES[[#This Row],[JOUR]],2)</f>
        <v>2</v>
      </c>
      <c r="C63" s="138">
        <f>_xlfn.ISOWEEKNUM(DONNEES[[#This Row],[AM]]-1)</f>
        <v>48</v>
      </c>
      <c r="D63" s="131">
        <v>44894</v>
      </c>
      <c r="E63" s="132">
        <f>DONNEES[[#This Row],[AM]]+1</f>
        <v>44895</v>
      </c>
      <c r="F63" s="16" t="s">
        <v>39</v>
      </c>
      <c r="G63" s="124">
        <v>16</v>
      </c>
      <c r="H63" s="15">
        <v>2</v>
      </c>
      <c r="I63" s="142" t="s">
        <v>91</v>
      </c>
      <c r="J63" s="16" t="s">
        <v>22</v>
      </c>
      <c r="K63" s="17">
        <v>260</v>
      </c>
      <c r="L63" s="18">
        <v>2</v>
      </c>
      <c r="M63" s="18">
        <v>1</v>
      </c>
      <c r="N63" s="19"/>
      <c r="O63" s="13">
        <v>260.89999999999998</v>
      </c>
      <c r="P63" s="10">
        <v>24</v>
      </c>
      <c r="Q63" s="10"/>
      <c r="R63" s="10"/>
      <c r="S63" s="10"/>
      <c r="T63" s="10">
        <v>15</v>
      </c>
      <c r="U63" s="10"/>
      <c r="V63" s="10"/>
      <c r="W63" s="11">
        <v>0.9</v>
      </c>
      <c r="X63" s="9"/>
      <c r="Y63" s="11"/>
      <c r="Z63" s="8">
        <f>IF(SUM(O63:W63)=0,IF(DONNEES[[#This Row],[ACPTE RECU]]-DONNEES[[#This Row],[ACPTE RENDU]]=0,"",DONNEES[[#This Row],[ACPTE RECU]]-DONNEES[[#This Row],[ACPTE RENDU]]),SUM(O63:W63)+DONNEES[[#This Row],[ACPTE RECU]]-DONNEES[[#This Row],[ACPTE RENDU]])</f>
        <v>300.79999999999995</v>
      </c>
      <c r="AA63" s="14">
        <f>IF(DONNEES[[#This Row],[DEP
REC]]="D",DONNEES[[#This Row],[DEPART]],"")</f>
        <v>44895</v>
      </c>
      <c r="AB63" s="102">
        <v>300.8</v>
      </c>
      <c r="AC63" s="10"/>
      <c r="AD63" s="10"/>
      <c r="AE63" s="10"/>
      <c r="AF63" s="10"/>
      <c r="AG63" s="10"/>
      <c r="AH63" s="10"/>
      <c r="AI63" s="10"/>
      <c r="AJ63" s="11"/>
      <c r="AK63" s="56">
        <f t="shared" si="3"/>
        <v>300.8</v>
      </c>
      <c r="AL63" s="13"/>
      <c r="AM63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63" s="123">
        <f>IF(DONNEES[[#This Row],[DATE
PAIEMT]]="",0,DONNEES[[#This Row],[DATE
PAIEMT]])</f>
        <v>44895</v>
      </c>
    </row>
    <row r="64" spans="1:40" x14ac:dyDescent="0.25">
      <c r="A64" s="136">
        <f>DONNEES[[#This Row],[AM]]</f>
        <v>44894</v>
      </c>
      <c r="B64" s="134">
        <f>WEEKDAY(DONNEES[[#This Row],[JOUR]],2)</f>
        <v>2</v>
      </c>
      <c r="C64" s="138">
        <f>_xlfn.ISOWEEKNUM(DONNEES[[#This Row],[AM]]-1)</f>
        <v>48</v>
      </c>
      <c r="D64" s="131">
        <v>44894</v>
      </c>
      <c r="E64" s="132">
        <f>DONNEES[[#This Row],[AM]]+1</f>
        <v>44895</v>
      </c>
      <c r="F64" s="16" t="s">
        <v>40</v>
      </c>
      <c r="G64" s="124">
        <v>27</v>
      </c>
      <c r="H64" s="15">
        <v>1</v>
      </c>
      <c r="I64" s="142" t="s">
        <v>148</v>
      </c>
      <c r="J64" s="16" t="s">
        <v>22</v>
      </c>
      <c r="K64" s="17">
        <v>165</v>
      </c>
      <c r="L64" s="18">
        <v>1</v>
      </c>
      <c r="M64" s="18"/>
      <c r="N64" s="19"/>
      <c r="O64" s="13"/>
      <c r="P64" s="10"/>
      <c r="Q64" s="10"/>
      <c r="R64" s="10"/>
      <c r="S64" s="10"/>
      <c r="T64" s="10"/>
      <c r="U64" s="10"/>
      <c r="V64" s="10"/>
      <c r="W64" s="11"/>
      <c r="X64" s="9"/>
      <c r="Y64" s="11"/>
      <c r="Z64" s="8" t="str">
        <f>IF(SUM(O64:W64)=0,IF(DONNEES[[#This Row],[ACPTE RECU]]-DONNEES[[#This Row],[ACPTE RENDU]]=0,"",DONNEES[[#This Row],[ACPTE RECU]]-DONNEES[[#This Row],[ACPTE RENDU]]),SUM(O64:W64)+DONNEES[[#This Row],[ACPTE RECU]]-DONNEES[[#This Row],[ACPTE RENDU]])</f>
        <v/>
      </c>
      <c r="AA64" s="14" t="str">
        <f>IF(DONNEES[[#This Row],[DEP
REC]]="D",DONNEES[[#This Row],[DEPART]],"")</f>
        <v/>
      </c>
      <c r="AB64" s="55"/>
      <c r="AC64" s="10"/>
      <c r="AD64" s="10"/>
      <c r="AE64" s="10"/>
      <c r="AF64" s="10"/>
      <c r="AG64" s="10"/>
      <c r="AH64" s="10"/>
      <c r="AI64" s="10"/>
      <c r="AJ64" s="11"/>
      <c r="AK64" s="56" t="str">
        <f t="shared" si="3"/>
        <v/>
      </c>
      <c r="AL64" s="13"/>
      <c r="AM64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64" s="123">
        <f>IF(DONNEES[[#This Row],[DATE
PAIEMT]]="",0,DONNEES[[#This Row],[DATE
PAIEMT]])</f>
        <v>0</v>
      </c>
    </row>
    <row r="65" spans="1:40" x14ac:dyDescent="0.25">
      <c r="A65" s="136">
        <f>DONNEES[[#This Row],[AM]]</f>
        <v>44894</v>
      </c>
      <c r="B65" s="134">
        <f>WEEKDAY(DONNEES[[#This Row],[JOUR]],2)</f>
        <v>2</v>
      </c>
      <c r="C65" s="138">
        <f>_xlfn.ISOWEEKNUM(DONNEES[[#This Row],[AM]]-1)</f>
        <v>48</v>
      </c>
      <c r="D65" s="131">
        <v>44894</v>
      </c>
      <c r="E65" s="132">
        <f>DONNEES[[#This Row],[AM]]+1</f>
        <v>44895</v>
      </c>
      <c r="F65" s="16" t="s">
        <v>40</v>
      </c>
      <c r="G65" s="124">
        <v>5</v>
      </c>
      <c r="H65" s="15">
        <v>1</v>
      </c>
      <c r="I65" s="142" t="s">
        <v>149</v>
      </c>
      <c r="J65" s="16" t="s">
        <v>22</v>
      </c>
      <c r="K65" s="17">
        <v>200</v>
      </c>
      <c r="L65" s="18">
        <v>1</v>
      </c>
      <c r="M65" s="18"/>
      <c r="N65" s="19"/>
      <c r="O65" s="13"/>
      <c r="P65" s="10"/>
      <c r="Q65" s="10"/>
      <c r="R65" s="10"/>
      <c r="S65" s="10"/>
      <c r="T65" s="10"/>
      <c r="U65" s="10"/>
      <c r="V65" s="10"/>
      <c r="W65" s="11"/>
      <c r="X65" s="9"/>
      <c r="Y65" s="11"/>
      <c r="Z65" s="8" t="str">
        <f>IF(SUM(O65:W65)=0,IF(DONNEES[[#This Row],[ACPTE RECU]]-DONNEES[[#This Row],[ACPTE RENDU]]=0,"",DONNEES[[#This Row],[ACPTE RECU]]-DONNEES[[#This Row],[ACPTE RENDU]]),SUM(O65:W65)+DONNEES[[#This Row],[ACPTE RECU]]-DONNEES[[#This Row],[ACPTE RENDU]])</f>
        <v/>
      </c>
      <c r="AA65" s="14" t="str">
        <f>IF(DONNEES[[#This Row],[DEP
REC]]="D",DONNEES[[#This Row],[DEPART]],"")</f>
        <v/>
      </c>
      <c r="AB65" s="55"/>
      <c r="AC65" s="10"/>
      <c r="AD65" s="10"/>
      <c r="AE65" s="10"/>
      <c r="AF65" s="10"/>
      <c r="AG65" s="10"/>
      <c r="AH65" s="10"/>
      <c r="AI65" s="10"/>
      <c r="AJ65" s="11"/>
      <c r="AK65" s="56" t="str">
        <f t="shared" si="3"/>
        <v/>
      </c>
      <c r="AL65" s="13"/>
      <c r="AM65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65" s="123">
        <f>IF(DONNEES[[#This Row],[DATE
PAIEMT]]="",0,DONNEES[[#This Row],[DATE
PAIEMT]])</f>
        <v>0</v>
      </c>
    </row>
    <row r="66" spans="1:40" x14ac:dyDescent="0.25">
      <c r="A66" s="136">
        <f>DONNEES[[#This Row],[AM]]</f>
        <v>44894</v>
      </c>
      <c r="B66" s="134">
        <f>WEEKDAY(DONNEES[[#This Row],[JOUR]],2)</f>
        <v>2</v>
      </c>
      <c r="C66" s="138">
        <f>_xlfn.ISOWEEKNUM(DONNEES[[#This Row],[AM]]-1)</f>
        <v>48</v>
      </c>
      <c r="D66" s="131">
        <v>44894</v>
      </c>
      <c r="E66" s="132">
        <f>DONNEES[[#This Row],[AM]]+1</f>
        <v>44895</v>
      </c>
      <c r="F66" s="16" t="s">
        <v>40</v>
      </c>
      <c r="G66" s="124">
        <v>12</v>
      </c>
      <c r="H66" s="15">
        <v>1</v>
      </c>
      <c r="I66" s="142" t="s">
        <v>150</v>
      </c>
      <c r="J66" s="16" t="s">
        <v>22</v>
      </c>
      <c r="K66" s="17">
        <v>190</v>
      </c>
      <c r="L66" s="18">
        <v>1</v>
      </c>
      <c r="M66" s="18"/>
      <c r="N66" s="19"/>
      <c r="O66" s="13"/>
      <c r="P66" s="10"/>
      <c r="Q66" s="10"/>
      <c r="R66" s="10"/>
      <c r="S66" s="10"/>
      <c r="T66" s="10"/>
      <c r="U66" s="10"/>
      <c r="V66" s="10"/>
      <c r="W66" s="11"/>
      <c r="X66" s="9"/>
      <c r="Y66" s="11"/>
      <c r="Z66" s="8" t="str">
        <f>IF(SUM(O66:W66)=0,IF(DONNEES[[#This Row],[ACPTE RECU]]-DONNEES[[#This Row],[ACPTE RENDU]]=0,"",DONNEES[[#This Row],[ACPTE RECU]]-DONNEES[[#This Row],[ACPTE RENDU]]),SUM(O66:W66)+DONNEES[[#This Row],[ACPTE RECU]]-DONNEES[[#This Row],[ACPTE RENDU]])</f>
        <v/>
      </c>
      <c r="AA66" s="14" t="str">
        <f>IF(DONNEES[[#This Row],[DEP
REC]]="D",DONNEES[[#This Row],[DEPART]],"")</f>
        <v/>
      </c>
      <c r="AB66" s="55"/>
      <c r="AC66" s="10"/>
      <c r="AD66" s="10"/>
      <c r="AE66" s="10"/>
      <c r="AF66" s="10"/>
      <c r="AG66" s="10"/>
      <c r="AH66" s="10"/>
      <c r="AI66" s="10"/>
      <c r="AJ66" s="11"/>
      <c r="AK66" s="56" t="str">
        <f t="shared" si="3"/>
        <v/>
      </c>
      <c r="AL66" s="13"/>
      <c r="AM66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66" s="123">
        <f>IF(DONNEES[[#This Row],[DATE
PAIEMT]]="",0,DONNEES[[#This Row],[DATE
PAIEMT]])</f>
        <v>0</v>
      </c>
    </row>
    <row r="67" spans="1:40" x14ac:dyDescent="0.25">
      <c r="A67" s="136">
        <f>DONNEES[[#This Row],[AM]]</f>
        <v>44894</v>
      </c>
      <c r="B67" s="134">
        <f>WEEKDAY(DONNEES[[#This Row],[JOUR]],2)</f>
        <v>2</v>
      </c>
      <c r="C67" s="138">
        <f>_xlfn.ISOWEEKNUM(DONNEES[[#This Row],[AM]]-1)</f>
        <v>48</v>
      </c>
      <c r="D67" s="131">
        <v>44894</v>
      </c>
      <c r="E67" s="132">
        <f>DONNEES[[#This Row],[AM]]+1</f>
        <v>44895</v>
      </c>
      <c r="F67" s="16" t="s">
        <v>40</v>
      </c>
      <c r="G67" s="124">
        <v>20</v>
      </c>
      <c r="H67" s="15">
        <v>1</v>
      </c>
      <c r="I67" s="142" t="s">
        <v>151</v>
      </c>
      <c r="J67" s="16" t="s">
        <v>41</v>
      </c>
      <c r="K67" s="17">
        <v>203.4</v>
      </c>
      <c r="L67" s="18">
        <v>1</v>
      </c>
      <c r="M67" s="18"/>
      <c r="N67" s="19"/>
      <c r="O67" s="13"/>
      <c r="P67" s="10"/>
      <c r="Q67" s="10"/>
      <c r="R67" s="10"/>
      <c r="S67" s="10"/>
      <c r="T67" s="10"/>
      <c r="U67" s="10"/>
      <c r="V67" s="10"/>
      <c r="W67" s="11"/>
      <c r="X67" s="9"/>
      <c r="Y67" s="11"/>
      <c r="Z67" s="8" t="str">
        <f>IF(SUM(O67:W67)=0,IF(DONNEES[[#This Row],[ACPTE RECU]]-DONNEES[[#This Row],[ACPTE RENDU]]=0,"",DONNEES[[#This Row],[ACPTE RECU]]-DONNEES[[#This Row],[ACPTE RENDU]]),SUM(O67:W67)+DONNEES[[#This Row],[ACPTE RECU]]-DONNEES[[#This Row],[ACPTE RENDU]])</f>
        <v/>
      </c>
      <c r="AA67" s="14" t="str">
        <f>IF(DONNEES[[#This Row],[DEP
REC]]="D",DONNEES[[#This Row],[DEPART]],"")</f>
        <v/>
      </c>
      <c r="AB67" s="55"/>
      <c r="AC67" s="10"/>
      <c r="AD67" s="10"/>
      <c r="AE67" s="10"/>
      <c r="AF67" s="10"/>
      <c r="AG67" s="10"/>
      <c r="AH67" s="10"/>
      <c r="AI67" s="10"/>
      <c r="AJ67" s="11"/>
      <c r="AK67" s="56" t="str">
        <f t="shared" si="3"/>
        <v/>
      </c>
      <c r="AL67" s="13"/>
      <c r="AM67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67" s="123">
        <f>IF(DONNEES[[#This Row],[DATE
PAIEMT]]="",0,DONNEES[[#This Row],[DATE
PAIEMT]])</f>
        <v>0</v>
      </c>
    </row>
    <row r="68" spans="1:40" x14ac:dyDescent="0.25">
      <c r="A68" s="136">
        <f>DONNEES[[#This Row],[AM]]</f>
        <v>44894</v>
      </c>
      <c r="B68" s="134">
        <f>WEEKDAY(DONNEES[[#This Row],[JOUR]],2)</f>
        <v>2</v>
      </c>
      <c r="C68" s="138">
        <f>_xlfn.ISOWEEKNUM(DONNEES[[#This Row],[AM]]-1)</f>
        <v>48</v>
      </c>
      <c r="D68" s="131">
        <v>44894</v>
      </c>
      <c r="E68" s="132">
        <f>DONNEES[[#This Row],[AM]]+1</f>
        <v>44895</v>
      </c>
      <c r="F68" s="16" t="s">
        <v>40</v>
      </c>
      <c r="G68" s="124">
        <v>22</v>
      </c>
      <c r="H68" s="15">
        <v>1</v>
      </c>
      <c r="I68" s="142" t="s">
        <v>145</v>
      </c>
      <c r="J68" s="16" t="s">
        <v>22</v>
      </c>
      <c r="K68" s="17">
        <v>220</v>
      </c>
      <c r="L68" s="18"/>
      <c r="M68" s="18"/>
      <c r="N68" s="19">
        <v>8</v>
      </c>
      <c r="O68" s="13"/>
      <c r="P68" s="10"/>
      <c r="Q68" s="10"/>
      <c r="R68" s="10"/>
      <c r="S68" s="10"/>
      <c r="T68" s="10"/>
      <c r="U68" s="10"/>
      <c r="V68" s="10"/>
      <c r="W68" s="11"/>
      <c r="X68" s="9"/>
      <c r="Y68" s="11"/>
      <c r="Z68" s="8" t="str">
        <f>IF(SUM(O68:W68)=0,IF(DONNEES[[#This Row],[ACPTE RECU]]-DONNEES[[#This Row],[ACPTE RENDU]]=0,"",DONNEES[[#This Row],[ACPTE RECU]]-DONNEES[[#This Row],[ACPTE RENDU]]),SUM(O68:W68)+DONNEES[[#This Row],[ACPTE RECU]]-DONNEES[[#This Row],[ACPTE RENDU]])</f>
        <v/>
      </c>
      <c r="AA68" s="14" t="str">
        <f>IF(DONNEES[[#This Row],[DEP
REC]]="D",DONNEES[[#This Row],[DEPART]],"")</f>
        <v/>
      </c>
      <c r="AB68" s="55"/>
      <c r="AC68" s="10"/>
      <c r="AD68" s="10"/>
      <c r="AE68" s="10"/>
      <c r="AF68" s="10"/>
      <c r="AG68" s="10"/>
      <c r="AH68" s="10"/>
      <c r="AI68" s="10"/>
      <c r="AJ68" s="11"/>
      <c r="AK68" s="56" t="str">
        <f t="shared" si="3"/>
        <v/>
      </c>
      <c r="AL68" s="13"/>
      <c r="AM68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68" s="123">
        <f>IF(DONNEES[[#This Row],[DATE
PAIEMT]]="",0,DONNEES[[#This Row],[DATE
PAIEMT]])</f>
        <v>0</v>
      </c>
    </row>
    <row r="69" spans="1:40" x14ac:dyDescent="0.25">
      <c r="A69" s="136">
        <f>DONNEES[[#This Row],[AM]]</f>
        <v>44894</v>
      </c>
      <c r="B69" s="134">
        <f>WEEKDAY(DONNEES[[#This Row],[JOUR]],2)</f>
        <v>2</v>
      </c>
      <c r="C69" s="138">
        <f>_xlfn.ISOWEEKNUM(DONNEES[[#This Row],[AM]]-1)</f>
        <v>48</v>
      </c>
      <c r="D69" s="131">
        <v>44894</v>
      </c>
      <c r="E69" s="132">
        <f>DONNEES[[#This Row],[AM]]+1</f>
        <v>44895</v>
      </c>
      <c r="F69" s="16" t="s">
        <v>40</v>
      </c>
      <c r="G69" s="124">
        <v>25</v>
      </c>
      <c r="H69" s="15">
        <v>2</v>
      </c>
      <c r="I69" s="142" t="s">
        <v>146</v>
      </c>
      <c r="J69" s="16" t="s">
        <v>41</v>
      </c>
      <c r="K69" s="17">
        <v>224.1</v>
      </c>
      <c r="L69" s="18">
        <v>2</v>
      </c>
      <c r="M69" s="18"/>
      <c r="N69" s="19"/>
      <c r="O69" s="13"/>
      <c r="P69" s="10"/>
      <c r="Q69" s="10"/>
      <c r="R69" s="10"/>
      <c r="S69" s="10"/>
      <c r="T69" s="10"/>
      <c r="U69" s="10"/>
      <c r="V69" s="10"/>
      <c r="W69" s="11"/>
      <c r="X69" s="9"/>
      <c r="Y69" s="11"/>
      <c r="Z69" s="8" t="str">
        <f>IF(SUM(O69:W69)=0,IF(DONNEES[[#This Row],[ACPTE RECU]]-DONNEES[[#This Row],[ACPTE RENDU]]=0,"",DONNEES[[#This Row],[ACPTE RECU]]-DONNEES[[#This Row],[ACPTE RENDU]]),SUM(O69:W69)+DONNEES[[#This Row],[ACPTE RECU]]-DONNEES[[#This Row],[ACPTE RENDU]])</f>
        <v/>
      </c>
      <c r="AA69" s="14" t="str">
        <f>IF(DONNEES[[#This Row],[DEP
REC]]="D",DONNEES[[#This Row],[DEPART]],"")</f>
        <v/>
      </c>
      <c r="AB69" s="55"/>
      <c r="AC69" s="10"/>
      <c r="AD69" s="10"/>
      <c r="AE69" s="10"/>
      <c r="AF69" s="10"/>
      <c r="AG69" s="10"/>
      <c r="AH69" s="10"/>
      <c r="AI69" s="10"/>
      <c r="AJ69" s="11"/>
      <c r="AK69" s="56" t="str">
        <f t="shared" si="3"/>
        <v/>
      </c>
      <c r="AL69" s="13"/>
      <c r="AM69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69" s="123">
        <f>IF(DONNEES[[#This Row],[DATE
PAIEMT]]="",0,DONNEES[[#This Row],[DATE
PAIEMT]])</f>
        <v>0</v>
      </c>
    </row>
    <row r="70" spans="1:40" x14ac:dyDescent="0.25">
      <c r="A70" s="136">
        <f>DONNEES[[#This Row],[AM]]</f>
        <v>44894</v>
      </c>
      <c r="B70" s="134">
        <f>WEEKDAY(DONNEES[[#This Row],[JOUR]],2)</f>
        <v>2</v>
      </c>
      <c r="C70" s="138">
        <f>_xlfn.ISOWEEKNUM(DONNEES[[#This Row],[AM]]-1)</f>
        <v>48</v>
      </c>
      <c r="D70" s="131">
        <v>44894</v>
      </c>
      <c r="E70" s="132">
        <f>DONNEES[[#This Row],[AM]]+1</f>
        <v>44895</v>
      </c>
      <c r="F70" s="16"/>
      <c r="G70" s="124"/>
      <c r="H70" s="15"/>
      <c r="I70" s="142" t="s">
        <v>55</v>
      </c>
      <c r="J70" s="16" t="s">
        <v>22</v>
      </c>
      <c r="K70" s="17"/>
      <c r="L70" s="18"/>
      <c r="M70" s="18"/>
      <c r="N70" s="19"/>
      <c r="O70" s="13"/>
      <c r="P70" s="10">
        <v>12</v>
      </c>
      <c r="Q70" s="10"/>
      <c r="R70" s="10"/>
      <c r="S70" s="10"/>
      <c r="T70" s="10"/>
      <c r="U70" s="10"/>
      <c r="V70" s="10"/>
      <c r="W70" s="11"/>
      <c r="X70" s="9"/>
      <c r="Y70" s="11"/>
      <c r="Z70" s="8">
        <f>IF(SUM(O70:W70)=0,IF(DONNEES[[#This Row],[ACPTE RECU]]-DONNEES[[#This Row],[ACPTE RENDU]]=0,"",DONNEES[[#This Row],[ACPTE RECU]]-DONNEES[[#This Row],[ACPTE RENDU]]),SUM(O70:W70)+DONNEES[[#This Row],[ACPTE RECU]]-DONNEES[[#This Row],[ACPTE RENDU]])</f>
        <v>12</v>
      </c>
      <c r="AA70" s="14" t="str">
        <f>IF(DONNEES[[#This Row],[DEP
REC]]="D",DONNEES[[#This Row],[DEPART]],"")</f>
        <v/>
      </c>
      <c r="AB70" s="55"/>
      <c r="AC70" s="10"/>
      <c r="AD70" s="10"/>
      <c r="AE70" s="10"/>
      <c r="AF70" s="10"/>
      <c r="AG70" s="10"/>
      <c r="AH70" s="10"/>
      <c r="AI70" s="10"/>
      <c r="AJ70" s="11"/>
      <c r="AK70" s="56" t="str">
        <f t="shared" si="3"/>
        <v/>
      </c>
      <c r="AL70" s="13"/>
      <c r="AM70" s="125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>12</v>
      </c>
      <c r="AN70" s="123">
        <f>IF(DONNEES[[#This Row],[DATE
PAIEMT]]="",0,DONNEES[[#This Row],[DATE
PAIEMT]])</f>
        <v>0</v>
      </c>
    </row>
    <row r="71" spans="1:40" x14ac:dyDescent="0.25">
      <c r="A71" s="136">
        <f>DONNEES[[#This Row],[AM]]</f>
        <v>44895</v>
      </c>
      <c r="B71" s="134">
        <f>WEEKDAY(DONNEES[[#This Row],[JOUR]],2)</f>
        <v>3</v>
      </c>
      <c r="C71" s="138">
        <f>_xlfn.ISOWEEKNUM(DONNEES[[#This Row],[AM]]-1)</f>
        <v>48</v>
      </c>
      <c r="D71" s="131">
        <v>44895</v>
      </c>
      <c r="E71" s="132">
        <f>DONNEES[[#This Row],[AM]]+1</f>
        <v>44896</v>
      </c>
      <c r="F71" s="16" t="s">
        <v>39</v>
      </c>
      <c r="G71" s="124">
        <v>21</v>
      </c>
      <c r="H71" s="15">
        <v>1</v>
      </c>
      <c r="I71" s="142" t="s">
        <v>52</v>
      </c>
      <c r="J71" s="16" t="s">
        <v>41</v>
      </c>
      <c r="K71" s="17">
        <v>188.1</v>
      </c>
      <c r="L71" s="18"/>
      <c r="M71" s="18"/>
      <c r="N71" s="19"/>
      <c r="O71" s="13">
        <v>188.1</v>
      </c>
      <c r="P71" s="10"/>
      <c r="Q71" s="10"/>
      <c r="R71" s="10"/>
      <c r="S71" s="10"/>
      <c r="T71" s="10"/>
      <c r="U71" s="10"/>
      <c r="V71" s="10"/>
      <c r="W71" s="11">
        <v>0.9</v>
      </c>
      <c r="X71" s="9"/>
      <c r="Y71" s="11"/>
      <c r="Z71" s="8">
        <f>IF(SUM(O71:W71)=0,IF(DONNEES[[#This Row],[ACPTE RECU]]-DONNEES[[#This Row],[ACPTE RENDU]]=0,"",DONNEES[[#This Row],[ACPTE RECU]]-DONNEES[[#This Row],[ACPTE RENDU]]),SUM(O71:W71)+DONNEES[[#This Row],[ACPTE RECU]]-DONNEES[[#This Row],[ACPTE RENDU]])</f>
        <v>189</v>
      </c>
      <c r="AA71" s="14">
        <v>44895</v>
      </c>
      <c r="AB71" s="102">
        <v>189</v>
      </c>
      <c r="AC71" s="10"/>
      <c r="AD71" s="10"/>
      <c r="AE71" s="10"/>
      <c r="AF71" s="10"/>
      <c r="AG71" s="10"/>
      <c r="AH71" s="10"/>
      <c r="AI71" s="10"/>
      <c r="AJ71" s="11"/>
      <c r="AK71" s="56">
        <f t="shared" si="3"/>
        <v>189</v>
      </c>
      <c r="AL71" s="13"/>
      <c r="AM71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71" s="123">
        <f>IF(DONNEES[[#This Row],[DATE
PAIEMT]]="",0,DONNEES[[#This Row],[DATE
PAIEMT]])</f>
        <v>44895</v>
      </c>
    </row>
    <row r="72" spans="1:40" x14ac:dyDescent="0.25">
      <c r="A72" s="136">
        <f>DONNEES[[#This Row],[AM]]</f>
        <v>44895</v>
      </c>
      <c r="B72" s="134">
        <f>WEEKDAY(DONNEES[[#This Row],[JOUR]],2)</f>
        <v>3</v>
      </c>
      <c r="C72" s="138">
        <f>_xlfn.ISOWEEKNUM(DONNEES[[#This Row],[AM]]-1)</f>
        <v>48</v>
      </c>
      <c r="D72" s="131">
        <v>44895</v>
      </c>
      <c r="E72" s="132">
        <f>DONNEES[[#This Row],[AM]]+1</f>
        <v>44896</v>
      </c>
      <c r="F72" s="16" t="s">
        <v>39</v>
      </c>
      <c r="G72" s="124">
        <v>22</v>
      </c>
      <c r="H72" s="15">
        <v>1</v>
      </c>
      <c r="I72" s="142" t="s">
        <v>145</v>
      </c>
      <c r="J72" s="16" t="s">
        <v>22</v>
      </c>
      <c r="K72" s="17">
        <v>220</v>
      </c>
      <c r="L72" s="18">
        <v>1</v>
      </c>
      <c r="M72" s="18"/>
      <c r="N72" s="19"/>
      <c r="O72" s="13">
        <f>185+2*220</f>
        <v>625</v>
      </c>
      <c r="P72" s="10">
        <v>24</v>
      </c>
      <c r="Q72" s="10">
        <v>20</v>
      </c>
      <c r="R72" s="10"/>
      <c r="S72" s="10"/>
      <c r="T72" s="10"/>
      <c r="U72" s="10"/>
      <c r="V72" s="10"/>
      <c r="W72" s="11">
        <v>2.7</v>
      </c>
      <c r="X72" s="9"/>
      <c r="Y72" s="11"/>
      <c r="Z72" s="8">
        <f>IF(SUM(O72:W72)=0,IF(DONNEES[[#This Row],[ACPTE RECU]]-DONNEES[[#This Row],[ACPTE RENDU]]=0,"",DONNEES[[#This Row],[ACPTE RECU]]-DONNEES[[#This Row],[ACPTE RENDU]]),SUM(O72:W72)+DONNEES[[#This Row],[ACPTE RECU]]-DONNEES[[#This Row],[ACPTE RENDU]])</f>
        <v>671.7</v>
      </c>
      <c r="AA72" s="14">
        <v>44895</v>
      </c>
      <c r="AB72" s="55"/>
      <c r="AC72" s="60">
        <v>671.7</v>
      </c>
      <c r="AD72" s="10"/>
      <c r="AE72" s="10"/>
      <c r="AF72" s="10"/>
      <c r="AG72" s="10"/>
      <c r="AH72" s="10"/>
      <c r="AI72" s="10"/>
      <c r="AJ72" s="11"/>
      <c r="AK72" s="56">
        <f t="shared" si="3"/>
        <v>671.7</v>
      </c>
      <c r="AL72" s="13"/>
      <c r="AM72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72" s="123">
        <f>IF(DONNEES[[#This Row],[DATE
PAIEMT]]="",0,DONNEES[[#This Row],[DATE
PAIEMT]])</f>
        <v>44895</v>
      </c>
    </row>
    <row r="73" spans="1:40" x14ac:dyDescent="0.25">
      <c r="A73" s="136">
        <f>DONNEES[[#This Row],[AM]]</f>
        <v>44895</v>
      </c>
      <c r="B73" s="134">
        <f>WEEKDAY(DONNEES[[#This Row],[JOUR]],2)</f>
        <v>3</v>
      </c>
      <c r="C73" s="138">
        <f>_xlfn.ISOWEEKNUM(DONNEES[[#This Row],[AM]]-1)</f>
        <v>48</v>
      </c>
      <c r="D73" s="131">
        <v>44895</v>
      </c>
      <c r="E73" s="132">
        <f>DONNEES[[#This Row],[AM]]+1</f>
        <v>44896</v>
      </c>
      <c r="F73" s="16" t="s">
        <v>39</v>
      </c>
      <c r="G73" s="124">
        <v>25</v>
      </c>
      <c r="H73" s="15">
        <v>2</v>
      </c>
      <c r="I73" s="142" t="s">
        <v>146</v>
      </c>
      <c r="J73" s="16" t="s">
        <v>41</v>
      </c>
      <c r="K73" s="17">
        <v>224.1</v>
      </c>
      <c r="L73" s="18"/>
      <c r="M73" s="18"/>
      <c r="N73" s="19"/>
      <c r="O73" s="13">
        <f>188.1+2*224.1+2.7</f>
        <v>639</v>
      </c>
      <c r="P73" s="10">
        <v>48</v>
      </c>
      <c r="Q73" s="10"/>
      <c r="R73" s="10"/>
      <c r="S73" s="10"/>
      <c r="T73" s="10"/>
      <c r="U73" s="10"/>
      <c r="V73" s="10"/>
      <c r="W73" s="11">
        <v>2.7</v>
      </c>
      <c r="X73" s="9"/>
      <c r="Y73" s="11"/>
      <c r="Z73" s="8">
        <f>IF(SUM(O73:W73)=0,IF(DONNEES[[#This Row],[ACPTE RECU]]-DONNEES[[#This Row],[ACPTE RENDU]]=0,"",DONNEES[[#This Row],[ACPTE RECU]]-DONNEES[[#This Row],[ACPTE RENDU]]),SUM(O73:W73)+DONNEES[[#This Row],[ACPTE RECU]]-DONNEES[[#This Row],[ACPTE RENDU]])</f>
        <v>689.7</v>
      </c>
      <c r="AA73" s="14">
        <v>44895</v>
      </c>
      <c r="AB73" s="102">
        <v>689.7</v>
      </c>
      <c r="AC73" s="10"/>
      <c r="AD73" s="10"/>
      <c r="AE73" s="10"/>
      <c r="AF73" s="10"/>
      <c r="AG73" s="10"/>
      <c r="AH73" s="10"/>
      <c r="AI73" s="10"/>
      <c r="AJ73" s="11"/>
      <c r="AK73" s="56">
        <f t="shared" si="3"/>
        <v>689.7</v>
      </c>
      <c r="AL73" s="13"/>
      <c r="AM73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73" s="123">
        <f>IF(DONNEES[[#This Row],[DATE
PAIEMT]]="",0,DONNEES[[#This Row],[DATE
PAIEMT]])</f>
        <v>44895</v>
      </c>
    </row>
    <row r="74" spans="1:40" x14ac:dyDescent="0.25">
      <c r="A74" s="136">
        <f>DONNEES[[#This Row],[AM]]</f>
        <v>44895</v>
      </c>
      <c r="B74" s="134">
        <f>WEEKDAY(DONNEES[[#This Row],[JOUR]],2)</f>
        <v>3</v>
      </c>
      <c r="C74" s="138">
        <f>_xlfn.ISOWEEKNUM(DONNEES[[#This Row],[AM]]-1)</f>
        <v>48</v>
      </c>
      <c r="D74" s="131">
        <v>44895</v>
      </c>
      <c r="E74" s="132">
        <f>DONNEES[[#This Row],[AM]]+1</f>
        <v>44896</v>
      </c>
      <c r="F74" s="16" t="s">
        <v>39</v>
      </c>
      <c r="G74" s="124">
        <v>26</v>
      </c>
      <c r="H74" s="15">
        <v>2</v>
      </c>
      <c r="I74" s="142" t="s">
        <v>156</v>
      </c>
      <c r="J74" s="16" t="s">
        <v>22</v>
      </c>
      <c r="K74" s="17">
        <v>160</v>
      </c>
      <c r="L74" s="18">
        <v>2</v>
      </c>
      <c r="M74" s="18">
        <v>1</v>
      </c>
      <c r="N74" s="19"/>
      <c r="O74" s="13">
        <v>160.9</v>
      </c>
      <c r="P74" s="10">
        <v>24</v>
      </c>
      <c r="Q74" s="10"/>
      <c r="R74" s="10"/>
      <c r="S74" s="10"/>
      <c r="T74" s="10">
        <v>15</v>
      </c>
      <c r="U74" s="10"/>
      <c r="V74" s="10"/>
      <c r="W74" s="11">
        <v>0.9</v>
      </c>
      <c r="X74" s="9"/>
      <c r="Y74" s="11"/>
      <c r="Z74" s="8">
        <f>IF(SUM(O74:W74)=0,IF(DONNEES[[#This Row],[ACPTE RECU]]-DONNEES[[#This Row],[ACPTE RENDU]]=0,"",DONNEES[[#This Row],[ACPTE RECU]]-DONNEES[[#This Row],[ACPTE RENDU]]),SUM(O74:W74)+DONNEES[[#This Row],[ACPTE RECU]]-DONNEES[[#This Row],[ACPTE RENDU]])</f>
        <v>200.8</v>
      </c>
      <c r="AA74" s="14">
        <f>IF(DONNEES[[#This Row],[DEP
REC]]="D",DONNEES[[#This Row],[DEPART]],"")</f>
        <v>44896</v>
      </c>
      <c r="AB74" s="55">
        <v>200.8</v>
      </c>
      <c r="AC74" s="10"/>
      <c r="AD74" s="10"/>
      <c r="AE74" s="10"/>
      <c r="AF74" s="10"/>
      <c r="AG74" s="10"/>
      <c r="AH74" s="10"/>
      <c r="AI74" s="10"/>
      <c r="AJ74" s="11"/>
      <c r="AK74" s="56">
        <f t="shared" si="3"/>
        <v>200.8</v>
      </c>
      <c r="AL74" s="13"/>
      <c r="AM74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74" s="123">
        <f>IF(DONNEES[[#This Row],[DATE
PAIEMT]]="",0,DONNEES[[#This Row],[DATE
PAIEMT]])</f>
        <v>44896</v>
      </c>
    </row>
    <row r="75" spans="1:40" x14ac:dyDescent="0.25">
      <c r="A75" s="136">
        <f>DONNEES[[#This Row],[AM]]</f>
        <v>44895</v>
      </c>
      <c r="B75" s="134">
        <f>WEEKDAY(DONNEES[[#This Row],[JOUR]],2)</f>
        <v>3</v>
      </c>
      <c r="C75" s="138">
        <f>_xlfn.ISOWEEKNUM(DONNEES[[#This Row],[AM]]-1)</f>
        <v>48</v>
      </c>
      <c r="D75" s="131">
        <v>44895</v>
      </c>
      <c r="E75" s="132">
        <f>DONNEES[[#This Row],[AM]]+1</f>
        <v>44896</v>
      </c>
      <c r="F75" s="16" t="s">
        <v>39</v>
      </c>
      <c r="G75" s="124">
        <v>12</v>
      </c>
      <c r="H75" s="15">
        <v>2</v>
      </c>
      <c r="I75" s="142" t="s">
        <v>150</v>
      </c>
      <c r="J75" s="16" t="s">
        <v>22</v>
      </c>
      <c r="K75" s="17">
        <v>230</v>
      </c>
      <c r="L75" s="18"/>
      <c r="M75" s="18"/>
      <c r="N75" s="19"/>
      <c r="O75" s="13">
        <f>170+230.9</f>
        <v>400.9</v>
      </c>
      <c r="P75" s="10">
        <v>12</v>
      </c>
      <c r="Q75" s="10"/>
      <c r="R75" s="10"/>
      <c r="S75" s="10"/>
      <c r="T75" s="10"/>
      <c r="U75" s="10"/>
      <c r="V75" s="10"/>
      <c r="W75" s="11">
        <v>1.8</v>
      </c>
      <c r="X75" s="9"/>
      <c r="Y75" s="11"/>
      <c r="Z75" s="8">
        <f>IF(SUM(O75:W75)=0,IF(DONNEES[[#This Row],[ACPTE RECU]]-DONNEES[[#This Row],[ACPTE RENDU]]=0,"",DONNEES[[#This Row],[ACPTE RECU]]-DONNEES[[#This Row],[ACPTE RENDU]]),SUM(O75:W75)+DONNEES[[#This Row],[ACPTE RECU]]-DONNEES[[#This Row],[ACPTE RENDU]])</f>
        <v>414.7</v>
      </c>
      <c r="AA75" s="14">
        <f>IF(DONNEES[[#This Row],[DEP
REC]]="D",DONNEES[[#This Row],[DEPART]],"")</f>
        <v>44896</v>
      </c>
      <c r="AB75" s="55">
        <v>414.7</v>
      </c>
      <c r="AC75" s="10"/>
      <c r="AD75" s="10"/>
      <c r="AE75" s="10"/>
      <c r="AF75" s="10"/>
      <c r="AG75" s="10"/>
      <c r="AH75" s="10"/>
      <c r="AI75" s="10"/>
      <c r="AJ75" s="11"/>
      <c r="AK75" s="56">
        <f t="shared" si="3"/>
        <v>414.7</v>
      </c>
      <c r="AL75" s="13"/>
      <c r="AM75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75" s="123">
        <f>IF(DONNEES[[#This Row],[DATE
PAIEMT]]="",0,DONNEES[[#This Row],[DATE
PAIEMT]])</f>
        <v>44896</v>
      </c>
    </row>
    <row r="76" spans="1:40" x14ac:dyDescent="0.25">
      <c r="A76" s="136">
        <f>DONNEES[[#This Row],[AM]]</f>
        <v>44895</v>
      </c>
      <c r="B76" s="134">
        <f>WEEKDAY(DONNEES[[#This Row],[JOUR]],2)</f>
        <v>3</v>
      </c>
      <c r="C76" s="138">
        <f>_xlfn.ISOWEEKNUM(DONNEES[[#This Row],[AM]]-1)</f>
        <v>48</v>
      </c>
      <c r="D76" s="131">
        <v>44895</v>
      </c>
      <c r="E76" s="132">
        <f>DONNEES[[#This Row],[AM]]+1</f>
        <v>44896</v>
      </c>
      <c r="F76" s="16" t="s">
        <v>39</v>
      </c>
      <c r="G76" s="124">
        <v>15</v>
      </c>
      <c r="H76" s="15">
        <v>2</v>
      </c>
      <c r="I76" s="142" t="s">
        <v>159</v>
      </c>
      <c r="J76" s="16" t="s">
        <v>22</v>
      </c>
      <c r="K76" s="17">
        <v>126.9</v>
      </c>
      <c r="L76" s="18"/>
      <c r="M76" s="18"/>
      <c r="N76" s="19"/>
      <c r="O76" s="13">
        <v>127.8</v>
      </c>
      <c r="P76" s="10"/>
      <c r="Q76" s="10"/>
      <c r="R76" s="10"/>
      <c r="S76" s="10"/>
      <c r="T76" s="10"/>
      <c r="U76" s="10"/>
      <c r="V76" s="10"/>
      <c r="W76" s="11">
        <v>0.9</v>
      </c>
      <c r="X76" s="9"/>
      <c r="Y76" s="11"/>
      <c r="Z76" s="8">
        <f>IF(SUM(O76:W76)=0,IF(DONNEES[[#This Row],[ACPTE RECU]]-DONNEES[[#This Row],[ACPTE RENDU]]=0,"",DONNEES[[#This Row],[ACPTE RECU]]-DONNEES[[#This Row],[ACPTE RENDU]]),SUM(O76:W76)+DONNEES[[#This Row],[ACPTE RECU]]-DONNEES[[#This Row],[ACPTE RENDU]])</f>
        <v>128.69999999999999</v>
      </c>
      <c r="AA76" s="14">
        <f>IF(DONNEES[[#This Row],[DEP
REC]]="D",DONNEES[[#This Row],[DEPART]],"")</f>
        <v>44896</v>
      </c>
      <c r="AB76" s="55">
        <v>128.69999999999999</v>
      </c>
      <c r="AC76" s="10"/>
      <c r="AD76" s="10"/>
      <c r="AE76" s="10"/>
      <c r="AF76" s="10"/>
      <c r="AG76" s="10"/>
      <c r="AH76" s="10"/>
      <c r="AI76" s="10"/>
      <c r="AJ76" s="11"/>
      <c r="AK76" s="56">
        <f t="shared" si="3"/>
        <v>128.69999999999999</v>
      </c>
      <c r="AL76" s="13"/>
      <c r="AM76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76" s="123">
        <f>IF(DONNEES[[#This Row],[DATE
PAIEMT]]="",0,DONNEES[[#This Row],[DATE
PAIEMT]])</f>
        <v>44896</v>
      </c>
    </row>
    <row r="77" spans="1:40" x14ac:dyDescent="0.25">
      <c r="A77" s="136">
        <f>DONNEES[[#This Row],[AM]]</f>
        <v>44895</v>
      </c>
      <c r="B77" s="134">
        <f>WEEKDAY(DONNEES[[#This Row],[JOUR]],2)</f>
        <v>3</v>
      </c>
      <c r="C77" s="138">
        <f>_xlfn.ISOWEEKNUM(DONNEES[[#This Row],[AM]]-1)</f>
        <v>48</v>
      </c>
      <c r="D77" s="131">
        <v>44895</v>
      </c>
      <c r="E77" s="132">
        <f>DONNEES[[#This Row],[AM]]+1</f>
        <v>44896</v>
      </c>
      <c r="F77" s="16" t="s">
        <v>40</v>
      </c>
      <c r="G77" s="124">
        <v>27</v>
      </c>
      <c r="H77" s="15">
        <v>1</v>
      </c>
      <c r="I77" s="142" t="s">
        <v>148</v>
      </c>
      <c r="J77" s="16" t="s">
        <v>22</v>
      </c>
      <c r="K77" s="17">
        <v>165</v>
      </c>
      <c r="L77" s="18">
        <v>1</v>
      </c>
      <c r="M77" s="18"/>
      <c r="N77" s="19"/>
      <c r="O77" s="13"/>
      <c r="P77" s="10"/>
      <c r="Q77" s="10"/>
      <c r="R77" s="10"/>
      <c r="S77" s="10"/>
      <c r="T77" s="10"/>
      <c r="U77" s="10"/>
      <c r="V77" s="10"/>
      <c r="W77" s="11"/>
      <c r="X77" s="9"/>
      <c r="Y77" s="11"/>
      <c r="Z77" s="8" t="str">
        <f>IF(SUM(O77:W77)=0,IF(DONNEES[[#This Row],[ACPTE RECU]]-DONNEES[[#This Row],[ACPTE RENDU]]=0,"",DONNEES[[#This Row],[ACPTE RECU]]-DONNEES[[#This Row],[ACPTE RENDU]]),SUM(O77:W77)+DONNEES[[#This Row],[ACPTE RECU]]-DONNEES[[#This Row],[ACPTE RENDU]])</f>
        <v/>
      </c>
      <c r="AA77" s="14" t="str">
        <f>IF(DONNEES[[#This Row],[DEP
REC]]="D",DONNEES[[#This Row],[DEPART]],"")</f>
        <v/>
      </c>
      <c r="AB77" s="55"/>
      <c r="AC77" s="10"/>
      <c r="AD77" s="10"/>
      <c r="AE77" s="10"/>
      <c r="AF77" s="10"/>
      <c r="AG77" s="10"/>
      <c r="AH77" s="10"/>
      <c r="AI77" s="10"/>
      <c r="AJ77" s="11"/>
      <c r="AK77" s="56" t="str">
        <f t="shared" si="3"/>
        <v/>
      </c>
      <c r="AL77" s="13"/>
      <c r="AM77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77" s="123">
        <f>IF(DONNEES[[#This Row],[DATE
PAIEMT]]="",0,DONNEES[[#This Row],[DATE
PAIEMT]])</f>
        <v>0</v>
      </c>
    </row>
    <row r="78" spans="1:40" x14ac:dyDescent="0.25">
      <c r="A78" s="136">
        <f>DONNEES[[#This Row],[AM]]</f>
        <v>44895</v>
      </c>
      <c r="B78" s="134">
        <f>WEEKDAY(DONNEES[[#This Row],[JOUR]],2)</f>
        <v>3</v>
      </c>
      <c r="C78" s="138">
        <f>_xlfn.ISOWEEKNUM(DONNEES[[#This Row],[AM]]-1)</f>
        <v>48</v>
      </c>
      <c r="D78" s="131">
        <v>44895</v>
      </c>
      <c r="E78" s="132">
        <f>DONNEES[[#This Row],[AM]]+1</f>
        <v>44896</v>
      </c>
      <c r="F78" s="16" t="s">
        <v>40</v>
      </c>
      <c r="G78" s="124">
        <v>5</v>
      </c>
      <c r="H78" s="15">
        <v>1</v>
      </c>
      <c r="I78" s="142" t="s">
        <v>149</v>
      </c>
      <c r="J78" s="16" t="s">
        <v>22</v>
      </c>
      <c r="K78" s="17">
        <v>200</v>
      </c>
      <c r="L78" s="18">
        <v>1</v>
      </c>
      <c r="M78" s="18"/>
      <c r="N78" s="19"/>
      <c r="O78" s="13"/>
      <c r="P78" s="10"/>
      <c r="Q78" s="10"/>
      <c r="R78" s="10"/>
      <c r="S78" s="10"/>
      <c r="T78" s="10"/>
      <c r="U78" s="10"/>
      <c r="V78" s="10"/>
      <c r="W78" s="11"/>
      <c r="X78" s="9"/>
      <c r="Y78" s="11"/>
      <c r="Z78" s="8" t="str">
        <f>IF(SUM(O78:W78)=0,IF(DONNEES[[#This Row],[ACPTE RECU]]-DONNEES[[#This Row],[ACPTE RENDU]]=0,"",DONNEES[[#This Row],[ACPTE RECU]]-DONNEES[[#This Row],[ACPTE RENDU]]),SUM(O78:W78)+DONNEES[[#This Row],[ACPTE RECU]]-DONNEES[[#This Row],[ACPTE RENDU]])</f>
        <v/>
      </c>
      <c r="AA78" s="14" t="str">
        <f>IF(DONNEES[[#This Row],[DEP
REC]]="D",DONNEES[[#This Row],[DEPART]],"")</f>
        <v/>
      </c>
      <c r="AB78" s="55"/>
      <c r="AC78" s="10"/>
      <c r="AD78" s="10"/>
      <c r="AE78" s="10"/>
      <c r="AF78" s="10"/>
      <c r="AG78" s="10"/>
      <c r="AH78" s="10"/>
      <c r="AI78" s="10"/>
      <c r="AJ78" s="11"/>
      <c r="AK78" s="56" t="str">
        <f t="shared" si="3"/>
        <v/>
      </c>
      <c r="AL78" s="13"/>
      <c r="AM78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78" s="123">
        <f>IF(DONNEES[[#This Row],[DATE
PAIEMT]]="",0,DONNEES[[#This Row],[DATE
PAIEMT]])</f>
        <v>0</v>
      </c>
    </row>
    <row r="79" spans="1:40" x14ac:dyDescent="0.25">
      <c r="A79" s="136">
        <f>DONNEES[[#This Row],[AM]]</f>
        <v>44895</v>
      </c>
      <c r="B79" s="134">
        <f>WEEKDAY(DONNEES[[#This Row],[JOUR]],2)</f>
        <v>3</v>
      </c>
      <c r="C79" s="138">
        <f>_xlfn.ISOWEEKNUM(DONNEES[[#This Row],[AM]]-1)</f>
        <v>48</v>
      </c>
      <c r="D79" s="131">
        <v>44895</v>
      </c>
      <c r="E79" s="132">
        <f>DONNEES[[#This Row],[AM]]+1</f>
        <v>44896</v>
      </c>
      <c r="F79" s="16" t="s">
        <v>40</v>
      </c>
      <c r="G79" s="124">
        <v>20</v>
      </c>
      <c r="H79" s="15">
        <v>1</v>
      </c>
      <c r="I79" s="142" t="s">
        <v>151</v>
      </c>
      <c r="J79" s="16" t="s">
        <v>41</v>
      </c>
      <c r="K79" s="17">
        <v>203.4</v>
      </c>
      <c r="L79" s="18">
        <v>1</v>
      </c>
      <c r="M79" s="18"/>
      <c r="N79" s="19"/>
      <c r="O79" s="13"/>
      <c r="P79" s="10"/>
      <c r="Q79" s="10"/>
      <c r="R79" s="10"/>
      <c r="S79" s="10"/>
      <c r="T79" s="10"/>
      <c r="U79" s="10"/>
      <c r="V79" s="10"/>
      <c r="W79" s="11"/>
      <c r="X79" s="9"/>
      <c r="Y79" s="11"/>
      <c r="Z79" s="8" t="str">
        <f>IF(SUM(O79:W79)=0,IF(DONNEES[[#This Row],[ACPTE RECU]]-DONNEES[[#This Row],[ACPTE RENDU]]=0,"",DONNEES[[#This Row],[ACPTE RECU]]-DONNEES[[#This Row],[ACPTE RENDU]]),SUM(O79:W79)+DONNEES[[#This Row],[ACPTE RECU]]-DONNEES[[#This Row],[ACPTE RENDU]])</f>
        <v/>
      </c>
      <c r="AA79" s="14" t="str">
        <f>IF(DONNEES[[#This Row],[DEP
REC]]="D",DONNEES[[#This Row],[DEPART]],"")</f>
        <v/>
      </c>
      <c r="AB79" s="55"/>
      <c r="AC79" s="10"/>
      <c r="AD79" s="10"/>
      <c r="AE79" s="10"/>
      <c r="AF79" s="10"/>
      <c r="AG79" s="10"/>
      <c r="AH79" s="10"/>
      <c r="AI79" s="10"/>
      <c r="AJ79" s="11"/>
      <c r="AK79" s="56" t="str">
        <f t="shared" si="3"/>
        <v/>
      </c>
      <c r="AL79" s="13"/>
      <c r="AM79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79" s="123">
        <f>IF(DONNEES[[#This Row],[DATE
PAIEMT]]="",0,DONNEES[[#This Row],[DATE
PAIEMT]])</f>
        <v>0</v>
      </c>
    </row>
    <row r="80" spans="1:40" x14ac:dyDescent="0.25">
      <c r="A80" s="136">
        <f>DONNEES[[#This Row],[AM]]</f>
        <v>44895</v>
      </c>
      <c r="B80" s="134">
        <f>WEEKDAY(DONNEES[[#This Row],[JOUR]],2)</f>
        <v>3</v>
      </c>
      <c r="C80" s="138">
        <f>_xlfn.ISOWEEKNUM(DONNEES[[#This Row],[AM]]-1)</f>
        <v>48</v>
      </c>
      <c r="D80" s="131">
        <v>44895</v>
      </c>
      <c r="E80" s="132">
        <f>DONNEES[[#This Row],[AM]]+1</f>
        <v>44896</v>
      </c>
      <c r="F80" s="16" t="s">
        <v>40</v>
      </c>
      <c r="G80" s="124">
        <v>14</v>
      </c>
      <c r="H80" s="15">
        <v>1</v>
      </c>
      <c r="I80" s="142" t="s">
        <v>157</v>
      </c>
      <c r="J80" s="16" t="s">
        <v>41</v>
      </c>
      <c r="K80" s="17">
        <v>181</v>
      </c>
      <c r="L80" s="18"/>
      <c r="M80" s="18"/>
      <c r="N80" s="19"/>
      <c r="O80" s="13"/>
      <c r="P80" s="10"/>
      <c r="Q80" s="10"/>
      <c r="R80" s="10"/>
      <c r="S80" s="10"/>
      <c r="T80" s="10"/>
      <c r="U80" s="10"/>
      <c r="V80" s="10"/>
      <c r="W80" s="11"/>
      <c r="X80" s="9"/>
      <c r="Y80" s="11"/>
      <c r="Z80" s="8" t="str">
        <f>IF(SUM(O80:W80)=0,IF(DONNEES[[#This Row],[ACPTE RECU]]-DONNEES[[#This Row],[ACPTE RENDU]]=0,"",DONNEES[[#This Row],[ACPTE RECU]]-DONNEES[[#This Row],[ACPTE RENDU]]),SUM(O80:W80)+DONNEES[[#This Row],[ACPTE RECU]]-DONNEES[[#This Row],[ACPTE RENDU]])</f>
        <v/>
      </c>
      <c r="AA80" s="14" t="str">
        <f>IF(DONNEES[[#This Row],[DEP
REC]]="D",DONNEES[[#This Row],[DEPART]],"")</f>
        <v/>
      </c>
      <c r="AB80" s="55"/>
      <c r="AC80" s="10"/>
      <c r="AD80" s="10"/>
      <c r="AE80" s="10"/>
      <c r="AF80" s="10"/>
      <c r="AG80" s="10"/>
      <c r="AH80" s="10"/>
      <c r="AI80" s="10"/>
      <c r="AJ80" s="11"/>
      <c r="AK80" s="56" t="str">
        <f t="shared" si="3"/>
        <v/>
      </c>
      <c r="AL80" s="13"/>
      <c r="AM80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80" s="123">
        <f>IF(DONNEES[[#This Row],[DATE
PAIEMT]]="",0,DONNEES[[#This Row],[DATE
PAIEMT]])</f>
        <v>0</v>
      </c>
    </row>
    <row r="81" spans="1:40" x14ac:dyDescent="0.25">
      <c r="A81" s="136">
        <f>DONNEES[[#This Row],[AM]]</f>
        <v>44895</v>
      </c>
      <c r="B81" s="134">
        <f>WEEKDAY(DONNEES[[#This Row],[JOUR]],2)</f>
        <v>3</v>
      </c>
      <c r="C81" s="138">
        <f>_xlfn.ISOWEEKNUM(DONNEES[[#This Row],[AM]]-1)</f>
        <v>48</v>
      </c>
      <c r="D81" s="131">
        <v>44895</v>
      </c>
      <c r="E81" s="132">
        <f>DONNEES[[#This Row],[AM]]+1</f>
        <v>44896</v>
      </c>
      <c r="F81" s="16" t="s">
        <v>40</v>
      </c>
      <c r="G81" s="124">
        <v>16</v>
      </c>
      <c r="H81" s="15">
        <v>2</v>
      </c>
      <c r="I81" s="142" t="s">
        <v>158</v>
      </c>
      <c r="J81" s="16" t="s">
        <v>22</v>
      </c>
      <c r="K81" s="17">
        <v>250</v>
      </c>
      <c r="L81" s="18">
        <v>2</v>
      </c>
      <c r="M81" s="18"/>
      <c r="N81" s="19"/>
      <c r="O81" s="13"/>
      <c r="P81" s="10"/>
      <c r="Q81" s="10"/>
      <c r="R81" s="10"/>
      <c r="S81" s="10"/>
      <c r="T81" s="10"/>
      <c r="U81" s="10"/>
      <c r="V81" s="10"/>
      <c r="W81" s="11"/>
      <c r="X81" s="9"/>
      <c r="Y81" s="11"/>
      <c r="Z81" s="8" t="str">
        <f>IF(SUM(O81:W81)=0,IF(DONNEES[[#This Row],[ACPTE RECU]]-DONNEES[[#This Row],[ACPTE RENDU]]=0,"",DONNEES[[#This Row],[ACPTE RECU]]-DONNEES[[#This Row],[ACPTE RENDU]]),SUM(O81:W81)+DONNEES[[#This Row],[ACPTE RECU]]-DONNEES[[#This Row],[ACPTE RENDU]])</f>
        <v/>
      </c>
      <c r="AA81" s="14" t="str">
        <f>IF(DONNEES[[#This Row],[DEP
REC]]="D",DONNEES[[#This Row],[DEPART]],"")</f>
        <v/>
      </c>
      <c r="AB81" s="55"/>
      <c r="AC81" s="10"/>
      <c r="AD81" s="10"/>
      <c r="AE81" s="10"/>
      <c r="AF81" s="10"/>
      <c r="AG81" s="10"/>
      <c r="AH81" s="10"/>
      <c r="AI81" s="10"/>
      <c r="AJ81" s="11"/>
      <c r="AK81" s="56" t="str">
        <f t="shared" si="3"/>
        <v/>
      </c>
      <c r="AL81" s="13"/>
      <c r="AM81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81" s="123">
        <f>IF(DONNEES[[#This Row],[DATE
PAIEMT]]="",0,DONNEES[[#This Row],[DATE
PAIEMT]])</f>
        <v>0</v>
      </c>
    </row>
    <row r="82" spans="1:40" x14ac:dyDescent="0.25">
      <c r="A82" s="136">
        <f>DONNEES[[#This Row],[AM]]</f>
        <v>44896</v>
      </c>
      <c r="B82" s="134">
        <f>WEEKDAY(DONNEES[[#This Row],[JOUR]],2)</f>
        <v>4</v>
      </c>
      <c r="C82" s="138">
        <f>_xlfn.ISOWEEKNUM(DONNEES[[#This Row],[AM]]-1)</f>
        <v>48</v>
      </c>
      <c r="D82" s="131">
        <v>44896</v>
      </c>
      <c r="E82" s="132">
        <f>DONNEES[[#This Row],[AM]]+1</f>
        <v>44897</v>
      </c>
      <c r="F82" s="16" t="s">
        <v>39</v>
      </c>
      <c r="G82" s="124">
        <v>27</v>
      </c>
      <c r="H82" s="15">
        <v>1</v>
      </c>
      <c r="I82" s="142" t="s">
        <v>148</v>
      </c>
      <c r="J82" s="16" t="s">
        <v>22</v>
      </c>
      <c r="K82" s="17">
        <v>165</v>
      </c>
      <c r="L82" s="18"/>
      <c r="M82" s="18"/>
      <c r="N82" s="19"/>
      <c r="O82" s="13">
        <f>3*165</f>
        <v>495</v>
      </c>
      <c r="P82" s="10">
        <v>24</v>
      </c>
      <c r="Q82" s="10"/>
      <c r="R82" s="10"/>
      <c r="S82" s="10"/>
      <c r="T82" s="10"/>
      <c r="U82" s="10"/>
      <c r="V82" s="10"/>
      <c r="W82" s="11">
        <v>2.7</v>
      </c>
      <c r="X82" s="9"/>
      <c r="Y82" s="11"/>
      <c r="Z82" s="8">
        <f>IF(SUM(O82:W82)=0,IF(DONNEES[[#This Row],[ACPTE RECU]]-DONNEES[[#This Row],[ACPTE RENDU]]=0,"",DONNEES[[#This Row],[ACPTE RECU]]-DONNEES[[#This Row],[ACPTE RENDU]]),SUM(O82:W82)+DONNEES[[#This Row],[ACPTE RECU]]-DONNEES[[#This Row],[ACPTE RENDU]])</f>
        <v>521.70000000000005</v>
      </c>
      <c r="AA82" s="14">
        <v>44896</v>
      </c>
      <c r="AB82" s="55"/>
      <c r="AC82" s="10"/>
      <c r="AD82" s="10"/>
      <c r="AE82" s="10"/>
      <c r="AF82" s="10"/>
      <c r="AG82" s="10"/>
      <c r="AH82" s="10"/>
      <c r="AI82" s="10"/>
      <c r="AJ82" s="11"/>
      <c r="AK82" s="56" t="str">
        <f t="shared" ref="AK82:AK88" si="4">IF(SUM(AB82:AJ82)=0,"",SUM(AB82:AJ82))</f>
        <v/>
      </c>
      <c r="AL82" s="13"/>
      <c r="AM82" s="125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>521.70000000000005</v>
      </c>
      <c r="AN82" s="123">
        <f>IF(DONNEES[[#This Row],[DATE
PAIEMT]]="",0,DONNEES[[#This Row],[DATE
PAIEMT]])</f>
        <v>44896</v>
      </c>
    </row>
    <row r="83" spans="1:40" x14ac:dyDescent="0.25">
      <c r="A83" s="136">
        <f>DONNEES[[#This Row],[AM]]</f>
        <v>44896</v>
      </c>
      <c r="B83" s="134">
        <f>WEEKDAY(DONNEES[[#This Row],[JOUR]],2)</f>
        <v>4</v>
      </c>
      <c r="C83" s="138">
        <f>_xlfn.ISOWEEKNUM(DONNEES[[#This Row],[AM]]-1)</f>
        <v>48</v>
      </c>
      <c r="D83" s="131">
        <v>44896</v>
      </c>
      <c r="E83" s="132">
        <f>DONNEES[[#This Row],[AM]]+1</f>
        <v>44897</v>
      </c>
      <c r="F83" s="16" t="s">
        <v>39</v>
      </c>
      <c r="G83" s="124">
        <v>5</v>
      </c>
      <c r="H83" s="15">
        <v>1</v>
      </c>
      <c r="I83" s="142" t="s">
        <v>149</v>
      </c>
      <c r="J83" s="16" t="s">
        <v>22</v>
      </c>
      <c r="K83" s="17">
        <v>200</v>
      </c>
      <c r="L83" s="18"/>
      <c r="M83" s="18"/>
      <c r="N83" s="19"/>
      <c r="O83" s="13">
        <f>3*200</f>
        <v>600</v>
      </c>
      <c r="P83" s="10">
        <v>24</v>
      </c>
      <c r="Q83" s="10"/>
      <c r="R83" s="10"/>
      <c r="S83" s="10"/>
      <c r="T83" s="10"/>
      <c r="U83" s="10"/>
      <c r="V83" s="10"/>
      <c r="W83" s="11">
        <v>2.7</v>
      </c>
      <c r="X83" s="9"/>
      <c r="Y83" s="11"/>
      <c r="Z83" s="8">
        <f>IF(SUM(O83:W83)=0,IF(DONNEES[[#This Row],[ACPTE RECU]]-DONNEES[[#This Row],[ACPTE RENDU]]=0,"",DONNEES[[#This Row],[ACPTE RECU]]-DONNEES[[#This Row],[ACPTE RENDU]]),SUM(O83:W83)+DONNEES[[#This Row],[ACPTE RECU]]-DONNEES[[#This Row],[ACPTE RENDU]])</f>
        <v>626.70000000000005</v>
      </c>
      <c r="AA83" s="14">
        <v>44896</v>
      </c>
      <c r="AB83" s="55"/>
      <c r="AC83" s="10"/>
      <c r="AD83" s="10"/>
      <c r="AE83" s="10">
        <v>1148.4000000000001</v>
      </c>
      <c r="AF83" s="10"/>
      <c r="AG83" s="10"/>
      <c r="AH83" s="10"/>
      <c r="AI83" s="10"/>
      <c r="AJ83" s="11"/>
      <c r="AK83" s="56">
        <f t="shared" si="4"/>
        <v>1148.4000000000001</v>
      </c>
      <c r="AL83" s="13"/>
      <c r="AM83" s="125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>-521.70000000000005</v>
      </c>
      <c r="AN83" s="123">
        <f>IF(DONNEES[[#This Row],[DATE
PAIEMT]]="",0,DONNEES[[#This Row],[DATE
PAIEMT]])</f>
        <v>44896</v>
      </c>
    </row>
    <row r="84" spans="1:40" x14ac:dyDescent="0.25">
      <c r="A84" s="136">
        <f>DONNEES[[#This Row],[AM]]</f>
        <v>44896</v>
      </c>
      <c r="B84" s="134">
        <f>WEEKDAY(DONNEES[[#This Row],[JOUR]],2)</f>
        <v>4</v>
      </c>
      <c r="C84" s="138">
        <f>_xlfn.ISOWEEKNUM(DONNEES[[#This Row],[AM]]-1)</f>
        <v>48</v>
      </c>
      <c r="D84" s="131">
        <v>44896</v>
      </c>
      <c r="E84" s="132">
        <f>DONNEES[[#This Row],[AM]]+1</f>
        <v>44897</v>
      </c>
      <c r="F84" s="16" t="s">
        <v>39</v>
      </c>
      <c r="G84" s="124">
        <v>12</v>
      </c>
      <c r="H84" s="15">
        <v>2</v>
      </c>
      <c r="I84" s="142" t="s">
        <v>159</v>
      </c>
      <c r="J84" s="16" t="s">
        <v>22</v>
      </c>
      <c r="K84" s="17">
        <v>115</v>
      </c>
      <c r="L84" s="18"/>
      <c r="M84" s="18"/>
      <c r="N84" s="19"/>
      <c r="O84" s="13">
        <v>115.9</v>
      </c>
      <c r="P84" s="10"/>
      <c r="Q84" s="10"/>
      <c r="R84" s="10"/>
      <c r="S84" s="10"/>
      <c r="T84" s="10"/>
      <c r="U84" s="10"/>
      <c r="V84" s="10"/>
      <c r="W84" s="11">
        <v>0.9</v>
      </c>
      <c r="X84" s="9"/>
      <c r="Y84" s="11"/>
      <c r="Z84" s="8">
        <f>IF(SUM(O84:W84)=0,IF(DONNEES[[#This Row],[ACPTE RECU]]-DONNEES[[#This Row],[ACPTE RENDU]]=0,"",DONNEES[[#This Row],[ACPTE RECU]]-DONNEES[[#This Row],[ACPTE RENDU]]),SUM(O84:W84)+DONNEES[[#This Row],[ACPTE RECU]]-DONNEES[[#This Row],[ACPTE RENDU]])</f>
        <v>116.80000000000001</v>
      </c>
      <c r="AA84" s="14">
        <f>IF(DONNEES[[#This Row],[DEP
REC]]="D",DONNEES[[#This Row],[DEPART]],"")</f>
        <v>44897</v>
      </c>
      <c r="AB84" s="55">
        <f>58.4+58.4</f>
        <v>116.8</v>
      </c>
      <c r="AC84" s="10"/>
      <c r="AD84" s="10"/>
      <c r="AE84" s="10"/>
      <c r="AF84" s="10"/>
      <c r="AG84" s="10"/>
      <c r="AH84" s="10"/>
      <c r="AI84" s="10"/>
      <c r="AJ84" s="11"/>
      <c r="AK84" s="56">
        <f t="shared" si="4"/>
        <v>116.8</v>
      </c>
      <c r="AL84" s="13"/>
      <c r="AM84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84" s="123">
        <f>IF(DONNEES[[#This Row],[DATE
PAIEMT]]="",0,DONNEES[[#This Row],[DATE
PAIEMT]])</f>
        <v>44897</v>
      </c>
    </row>
    <row r="85" spans="1:40" x14ac:dyDescent="0.25">
      <c r="A85" s="136">
        <f>DONNEES[[#This Row],[AM]]</f>
        <v>44896</v>
      </c>
      <c r="B85" s="134">
        <f>WEEKDAY(DONNEES[[#This Row],[JOUR]],2)</f>
        <v>4</v>
      </c>
      <c r="C85" s="138">
        <f>_xlfn.ISOWEEKNUM(DONNEES[[#This Row],[AM]]-1)</f>
        <v>48</v>
      </c>
      <c r="D85" s="131">
        <v>44896</v>
      </c>
      <c r="E85" s="132">
        <f>DONNEES[[#This Row],[AM]]+1</f>
        <v>44897</v>
      </c>
      <c r="F85" s="16" t="s">
        <v>40</v>
      </c>
      <c r="G85" s="124">
        <v>20</v>
      </c>
      <c r="H85" s="15">
        <v>2</v>
      </c>
      <c r="I85" s="142" t="s">
        <v>151</v>
      </c>
      <c r="J85" s="16" t="s">
        <v>41</v>
      </c>
      <c r="K85" s="17">
        <v>203.4</v>
      </c>
      <c r="L85" s="18">
        <v>2</v>
      </c>
      <c r="M85" s="18"/>
      <c r="N85" s="19"/>
      <c r="O85" s="13"/>
      <c r="P85" s="10"/>
      <c r="Q85" s="10"/>
      <c r="R85" s="10"/>
      <c r="S85" s="10"/>
      <c r="T85" s="10"/>
      <c r="U85" s="10"/>
      <c r="V85" s="10"/>
      <c r="W85" s="11"/>
      <c r="X85" s="9"/>
      <c r="Y85" s="11"/>
      <c r="Z85" s="8" t="str">
        <f>IF(SUM(O85:W85)=0,IF(DONNEES[[#This Row],[ACPTE RECU]]-DONNEES[[#This Row],[ACPTE RENDU]]=0,"",DONNEES[[#This Row],[ACPTE RECU]]-DONNEES[[#This Row],[ACPTE RENDU]]),SUM(O85:W85)+DONNEES[[#This Row],[ACPTE RECU]]-DONNEES[[#This Row],[ACPTE RENDU]])</f>
        <v/>
      </c>
      <c r="AA85" s="14" t="str">
        <f>IF(DONNEES[[#This Row],[DEP
REC]]="D",DONNEES[[#This Row],[DEPART]],"")</f>
        <v/>
      </c>
      <c r="AB85" s="55"/>
      <c r="AC85" s="10"/>
      <c r="AD85" s="10"/>
      <c r="AE85" s="10"/>
      <c r="AF85" s="10"/>
      <c r="AG85" s="10"/>
      <c r="AH85" s="10"/>
      <c r="AI85" s="10"/>
      <c r="AJ85" s="11"/>
      <c r="AK85" s="56" t="str">
        <f t="shared" si="4"/>
        <v/>
      </c>
      <c r="AL85" s="13"/>
      <c r="AM85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85" s="123">
        <f>IF(DONNEES[[#This Row],[DATE
PAIEMT]]="",0,DONNEES[[#This Row],[DATE
PAIEMT]])</f>
        <v>0</v>
      </c>
    </row>
    <row r="86" spans="1:40" x14ac:dyDescent="0.25">
      <c r="A86" s="136">
        <f>DONNEES[[#This Row],[AM]]</f>
        <v>44896</v>
      </c>
      <c r="B86" s="134">
        <f>WEEKDAY(DONNEES[[#This Row],[JOUR]],2)</f>
        <v>4</v>
      </c>
      <c r="C86" s="138">
        <f>_xlfn.ISOWEEKNUM(DONNEES[[#This Row],[AM]]-1)</f>
        <v>48</v>
      </c>
      <c r="D86" s="131">
        <v>44896</v>
      </c>
      <c r="E86" s="132">
        <f>DONNEES[[#This Row],[AM]]+1</f>
        <v>44897</v>
      </c>
      <c r="F86" s="16" t="s">
        <v>40</v>
      </c>
      <c r="G86" s="124">
        <v>6</v>
      </c>
      <c r="H86" s="15">
        <v>1</v>
      </c>
      <c r="I86" s="142" t="s">
        <v>161</v>
      </c>
      <c r="J86" s="16" t="s">
        <v>22</v>
      </c>
      <c r="K86" s="17">
        <v>175</v>
      </c>
      <c r="L86" s="18"/>
      <c r="M86" s="18"/>
      <c r="N86" s="19"/>
      <c r="O86" s="13"/>
      <c r="P86" s="10"/>
      <c r="Q86" s="10"/>
      <c r="R86" s="10"/>
      <c r="S86" s="10"/>
      <c r="T86" s="10"/>
      <c r="U86" s="10"/>
      <c r="V86" s="10"/>
      <c r="W86" s="11"/>
      <c r="X86" s="9"/>
      <c r="Y86" s="11"/>
      <c r="Z86" s="8" t="str">
        <f>IF(SUM(O86:W86)=0,IF(DONNEES[[#This Row],[ACPTE RECU]]-DONNEES[[#This Row],[ACPTE RENDU]]=0,"",DONNEES[[#This Row],[ACPTE RECU]]-DONNEES[[#This Row],[ACPTE RENDU]]),SUM(O86:W86)+DONNEES[[#This Row],[ACPTE RECU]]-DONNEES[[#This Row],[ACPTE RENDU]])</f>
        <v/>
      </c>
      <c r="AA86" s="14" t="str">
        <f>IF(DONNEES[[#This Row],[DEP
REC]]="D",DONNEES[[#This Row],[DEPART]],"")</f>
        <v/>
      </c>
      <c r="AB86" s="55"/>
      <c r="AC86" s="10"/>
      <c r="AD86" s="10"/>
      <c r="AE86" s="10"/>
      <c r="AF86" s="10"/>
      <c r="AG86" s="10"/>
      <c r="AH86" s="10"/>
      <c r="AI86" s="10"/>
      <c r="AJ86" s="11"/>
      <c r="AK86" s="56" t="str">
        <f t="shared" si="4"/>
        <v/>
      </c>
      <c r="AL86" s="13"/>
      <c r="AM86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86" s="123">
        <f>IF(DONNEES[[#This Row],[DATE
PAIEMT]]="",0,DONNEES[[#This Row],[DATE
PAIEMT]])</f>
        <v>0</v>
      </c>
    </row>
    <row r="87" spans="1:40" x14ac:dyDescent="0.25">
      <c r="A87" s="136">
        <f>DONNEES[[#This Row],[AM]]</f>
        <v>44896</v>
      </c>
      <c r="B87" s="134">
        <f>WEEKDAY(DONNEES[[#This Row],[JOUR]],2)</f>
        <v>4</v>
      </c>
      <c r="C87" s="138">
        <f>_xlfn.ISOWEEKNUM(DONNEES[[#This Row],[AM]]-1)</f>
        <v>48</v>
      </c>
      <c r="D87" s="131">
        <v>44896</v>
      </c>
      <c r="E87" s="132">
        <f>DONNEES[[#This Row],[AM]]+1</f>
        <v>44897</v>
      </c>
      <c r="F87" s="16" t="s">
        <v>39</v>
      </c>
      <c r="G87" s="124">
        <v>14</v>
      </c>
      <c r="H87" s="15">
        <v>1</v>
      </c>
      <c r="I87" s="142" t="s">
        <v>157</v>
      </c>
      <c r="J87" s="16" t="s">
        <v>41</v>
      </c>
      <c r="K87" s="17">
        <v>141</v>
      </c>
      <c r="L87" s="18"/>
      <c r="M87" s="18"/>
      <c r="N87" s="19"/>
      <c r="O87" s="13">
        <f>181+141</f>
        <v>322</v>
      </c>
      <c r="P87" s="10"/>
      <c r="Q87" s="10"/>
      <c r="R87" s="10"/>
      <c r="S87" s="10"/>
      <c r="T87" s="10"/>
      <c r="U87" s="10"/>
      <c r="V87" s="10"/>
      <c r="W87" s="11">
        <v>1.8</v>
      </c>
      <c r="X87" s="9"/>
      <c r="Y87" s="11"/>
      <c r="Z87" s="8">
        <f>IF(SUM(O87:W87)=0,IF(DONNEES[[#This Row],[ACPTE RECU]]-DONNEES[[#This Row],[ACPTE RENDU]]=0,"",DONNEES[[#This Row],[ACPTE RECU]]-DONNEES[[#This Row],[ACPTE RENDU]]),SUM(O87:W87)+DONNEES[[#This Row],[ACPTE RECU]]-DONNEES[[#This Row],[ACPTE RENDU]])</f>
        <v>323.8</v>
      </c>
      <c r="AA87" s="14">
        <f>IF(DONNEES[[#This Row],[DEP
REC]]="D",DONNEES[[#This Row],[DEPART]],"")</f>
        <v>44897</v>
      </c>
      <c r="AB87" s="55">
        <v>323.8</v>
      </c>
      <c r="AC87" s="10"/>
      <c r="AD87" s="10"/>
      <c r="AE87" s="10"/>
      <c r="AF87" s="10"/>
      <c r="AG87" s="10"/>
      <c r="AH87" s="10"/>
      <c r="AI87" s="10"/>
      <c r="AJ87" s="11"/>
      <c r="AK87" s="56">
        <f t="shared" si="4"/>
        <v>323.8</v>
      </c>
      <c r="AL87" s="13"/>
      <c r="AM87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87" s="123">
        <f>IF(DONNEES[[#This Row],[DATE
PAIEMT]]="",0,DONNEES[[#This Row],[DATE
PAIEMT]])</f>
        <v>44897</v>
      </c>
    </row>
    <row r="88" spans="1:40" x14ac:dyDescent="0.25">
      <c r="A88" s="136">
        <f>DONNEES[[#This Row],[AM]]</f>
        <v>44896</v>
      </c>
      <c r="B88" s="134">
        <f>WEEKDAY(DONNEES[[#This Row],[JOUR]],2)</f>
        <v>4</v>
      </c>
      <c r="C88" s="138">
        <f>_xlfn.ISOWEEKNUM(DONNEES[[#This Row],[AM]]-1)</f>
        <v>48</v>
      </c>
      <c r="D88" s="131">
        <v>44896</v>
      </c>
      <c r="E88" s="132">
        <f>DONNEES[[#This Row],[AM]]+1</f>
        <v>44897</v>
      </c>
      <c r="F88" s="16" t="s">
        <v>39</v>
      </c>
      <c r="G88" s="124">
        <v>16</v>
      </c>
      <c r="H88" s="15">
        <v>2</v>
      </c>
      <c r="I88" s="142" t="s">
        <v>158</v>
      </c>
      <c r="J88" s="16" t="s">
        <v>22</v>
      </c>
      <c r="K88" s="17">
        <v>250</v>
      </c>
      <c r="L88" s="18"/>
      <c r="M88" s="18"/>
      <c r="N88" s="19"/>
      <c r="O88" s="13">
        <f>2*250.9</f>
        <v>501.8</v>
      </c>
      <c r="P88" s="10">
        <v>24</v>
      </c>
      <c r="Q88" s="10"/>
      <c r="R88" s="10"/>
      <c r="S88" s="10"/>
      <c r="T88" s="10"/>
      <c r="U88" s="10"/>
      <c r="V88" s="10"/>
      <c r="W88" s="11">
        <v>1.8</v>
      </c>
      <c r="X88" s="9"/>
      <c r="Y88" s="11"/>
      <c r="Z88" s="8">
        <f>IF(SUM(O88:W88)=0,IF(DONNEES[[#This Row],[ACPTE RECU]]-DONNEES[[#This Row],[ACPTE RENDU]]=0,"",DONNEES[[#This Row],[ACPTE RECU]]-DONNEES[[#This Row],[ACPTE RENDU]]),SUM(O88:W88)+DONNEES[[#This Row],[ACPTE RECU]]-DONNEES[[#This Row],[ACPTE RENDU]])</f>
        <v>527.59999999999991</v>
      </c>
      <c r="AA88" s="14">
        <v>44896</v>
      </c>
      <c r="AB88" s="55">
        <v>527.6</v>
      </c>
      <c r="AC88" s="10"/>
      <c r="AD88" s="10"/>
      <c r="AE88" s="10"/>
      <c r="AF88" s="10"/>
      <c r="AG88" s="10"/>
      <c r="AH88" s="10"/>
      <c r="AI88" s="10"/>
      <c r="AJ88" s="11"/>
      <c r="AK88" s="56">
        <f t="shared" si="4"/>
        <v>527.6</v>
      </c>
      <c r="AL88" s="13"/>
      <c r="AM88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88" s="123">
        <f>IF(DONNEES[[#This Row],[DATE
PAIEMT]]="",0,DONNEES[[#This Row],[DATE
PAIEMT]])</f>
        <v>44896</v>
      </c>
    </row>
    <row r="89" spans="1:40" x14ac:dyDescent="0.25">
      <c r="A89" s="136">
        <f>DONNEES[[#This Row],[AM]]</f>
        <v>44897</v>
      </c>
      <c r="B89" s="134">
        <f>WEEKDAY(DONNEES[[#This Row],[JOUR]],2)</f>
        <v>5</v>
      </c>
      <c r="C89" s="138">
        <f>_xlfn.ISOWEEKNUM(DONNEES[[#This Row],[AM]]-1)</f>
        <v>48</v>
      </c>
      <c r="D89" s="131">
        <v>44897</v>
      </c>
      <c r="E89" s="132">
        <f>DONNEES[[#This Row],[AM]]+1</f>
        <v>44898</v>
      </c>
      <c r="F89" s="16" t="s">
        <v>39</v>
      </c>
      <c r="G89" s="124">
        <v>26</v>
      </c>
      <c r="H89" s="15">
        <v>2</v>
      </c>
      <c r="I89" s="142" t="s">
        <v>162</v>
      </c>
      <c r="J89" s="16" t="s">
        <v>41</v>
      </c>
      <c r="K89" s="17">
        <v>147</v>
      </c>
      <c r="L89" s="18"/>
      <c r="M89" s="18">
        <v>1</v>
      </c>
      <c r="N89" s="19"/>
      <c r="O89" s="13">
        <v>147.9</v>
      </c>
      <c r="P89" s="10"/>
      <c r="Q89" s="10"/>
      <c r="R89" s="10"/>
      <c r="S89" s="10"/>
      <c r="T89" s="10">
        <v>15</v>
      </c>
      <c r="U89" s="10"/>
      <c r="V89" s="10"/>
      <c r="W89" s="11">
        <v>0.9</v>
      </c>
      <c r="X89" s="9"/>
      <c r="Y89" s="11"/>
      <c r="Z89" s="8">
        <f>IF(SUM(O89:W89)=0,IF(DONNEES[[#This Row],[ACPTE RECU]]-DONNEES[[#This Row],[ACPTE RENDU]]=0,"",DONNEES[[#This Row],[ACPTE RECU]]-DONNEES[[#This Row],[ACPTE RENDU]]),SUM(O89:W89)+DONNEES[[#This Row],[ACPTE RECU]]-DONNEES[[#This Row],[ACPTE RENDU]])</f>
        <v>163.80000000000001</v>
      </c>
      <c r="AA89" s="14">
        <f>IF(DONNEES[[#This Row],[DEP
REC]]="D",DONNEES[[#This Row],[DEPART]],"")</f>
        <v>44898</v>
      </c>
      <c r="AB89" s="55">
        <v>163.80000000000001</v>
      </c>
      <c r="AC89" s="10"/>
      <c r="AD89" s="10"/>
      <c r="AE89" s="10"/>
      <c r="AF89" s="10"/>
      <c r="AG89" s="10"/>
      <c r="AH89" s="10"/>
      <c r="AI89" s="10"/>
      <c r="AJ89" s="11"/>
      <c r="AK89" s="56">
        <f t="shared" ref="AK89:AK97" si="5">IF(SUM(AB89:AJ89)=0,"",SUM(AB89:AJ89))</f>
        <v>163.80000000000001</v>
      </c>
      <c r="AL89" s="13"/>
      <c r="AM89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89" s="123">
        <f>IF(DONNEES[[#This Row],[DATE
PAIEMT]]="",0,DONNEES[[#This Row],[DATE
PAIEMT]])</f>
        <v>44898</v>
      </c>
    </row>
    <row r="90" spans="1:40" x14ac:dyDescent="0.25">
      <c r="A90" s="136">
        <f>DONNEES[[#This Row],[AM]]</f>
        <v>44897</v>
      </c>
      <c r="B90" s="134">
        <f>WEEKDAY(DONNEES[[#This Row],[JOUR]],2)</f>
        <v>5</v>
      </c>
      <c r="C90" s="138">
        <f>_xlfn.ISOWEEKNUM(DONNEES[[#This Row],[AM]]-1)</f>
        <v>48</v>
      </c>
      <c r="D90" s="131">
        <v>44897</v>
      </c>
      <c r="E90" s="132">
        <f>DONNEES[[#This Row],[AM]]+1</f>
        <v>44898</v>
      </c>
      <c r="F90" s="16" t="s">
        <v>39</v>
      </c>
      <c r="G90" s="124">
        <v>27</v>
      </c>
      <c r="H90" s="15">
        <v>2</v>
      </c>
      <c r="I90" s="142" t="s">
        <v>163</v>
      </c>
      <c r="J90" s="16" t="s">
        <v>41</v>
      </c>
      <c r="K90" s="17">
        <v>132.30000000000001</v>
      </c>
      <c r="L90" s="18"/>
      <c r="M90" s="18"/>
      <c r="N90" s="19"/>
      <c r="O90" s="13">
        <v>133.19999999999999</v>
      </c>
      <c r="P90" s="10"/>
      <c r="Q90" s="10"/>
      <c r="R90" s="10"/>
      <c r="S90" s="10"/>
      <c r="T90" s="10"/>
      <c r="U90" s="10"/>
      <c r="V90" s="10"/>
      <c r="W90" s="11">
        <v>0.9</v>
      </c>
      <c r="X90" s="9"/>
      <c r="Y90" s="11"/>
      <c r="Z90" s="8">
        <f>IF(SUM(O90:W90)=0,IF(DONNEES[[#This Row],[ACPTE RECU]]-DONNEES[[#This Row],[ACPTE RENDU]]=0,"",DONNEES[[#This Row],[ACPTE RECU]]-DONNEES[[#This Row],[ACPTE RENDU]]),SUM(O90:W90)+DONNEES[[#This Row],[ACPTE RECU]]-DONNEES[[#This Row],[ACPTE RENDU]])</f>
        <v>134.1</v>
      </c>
      <c r="AA90" s="14">
        <f>IF(DONNEES[[#This Row],[DEP
REC]]="D",DONNEES[[#This Row],[DEPART]],"")</f>
        <v>44898</v>
      </c>
      <c r="AB90" s="55">
        <v>158.4</v>
      </c>
      <c r="AC90" s="10"/>
      <c r="AD90" s="10"/>
      <c r="AE90" s="10"/>
      <c r="AF90" s="10"/>
      <c r="AG90" s="10"/>
      <c r="AH90" s="10"/>
      <c r="AI90" s="10"/>
      <c r="AJ90" s="11"/>
      <c r="AK90" s="56">
        <f t="shared" si="5"/>
        <v>158.4</v>
      </c>
      <c r="AL90" s="13"/>
      <c r="AM90" s="125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>-24.300000000000011</v>
      </c>
      <c r="AN90" s="123">
        <f>IF(DONNEES[[#This Row],[DATE
PAIEMT]]="",0,DONNEES[[#This Row],[DATE
PAIEMT]])</f>
        <v>44898</v>
      </c>
    </row>
    <row r="91" spans="1:40" x14ac:dyDescent="0.25">
      <c r="A91" s="136">
        <f>DONNEES[[#This Row],[AM]]</f>
        <v>44897</v>
      </c>
      <c r="B91" s="134">
        <f>WEEKDAY(DONNEES[[#This Row],[JOUR]],2)</f>
        <v>5</v>
      </c>
      <c r="C91" s="138">
        <f>_xlfn.ISOWEEKNUM(DONNEES[[#This Row],[AM]]-1)</f>
        <v>48</v>
      </c>
      <c r="D91" s="131">
        <v>44897</v>
      </c>
      <c r="E91" s="132">
        <f>DONNEES[[#This Row],[AM]]+1</f>
        <v>44898</v>
      </c>
      <c r="F91" s="16" t="s">
        <v>40</v>
      </c>
      <c r="G91" s="124">
        <v>5</v>
      </c>
      <c r="H91" s="15">
        <v>2</v>
      </c>
      <c r="I91" s="142" t="s">
        <v>161</v>
      </c>
      <c r="J91" s="16" t="s">
        <v>22</v>
      </c>
      <c r="K91" s="17">
        <v>169</v>
      </c>
      <c r="L91" s="18">
        <v>2</v>
      </c>
      <c r="M91" s="18">
        <v>1</v>
      </c>
      <c r="N91" s="19"/>
      <c r="O91" s="13"/>
      <c r="P91" s="10"/>
      <c r="Q91" s="10"/>
      <c r="R91" s="10"/>
      <c r="S91" s="10"/>
      <c r="T91" s="10"/>
      <c r="U91" s="10"/>
      <c r="V91" s="10"/>
      <c r="W91" s="11"/>
      <c r="X91" s="9"/>
      <c r="Y91" s="11"/>
      <c r="Z91" s="8" t="str">
        <f>IF(SUM(O91:W91)=0,IF(DONNEES[[#This Row],[ACPTE RECU]]-DONNEES[[#This Row],[ACPTE RENDU]]=0,"",DONNEES[[#This Row],[ACPTE RECU]]-DONNEES[[#This Row],[ACPTE RENDU]]),SUM(O91:W91)+DONNEES[[#This Row],[ACPTE RECU]]-DONNEES[[#This Row],[ACPTE RENDU]])</f>
        <v/>
      </c>
      <c r="AA91" s="14" t="str">
        <f>IF(DONNEES[[#This Row],[DEP
REC]]="D",DONNEES[[#This Row],[DEPART]],"")</f>
        <v/>
      </c>
      <c r="AB91" s="55"/>
      <c r="AC91" s="10"/>
      <c r="AD91" s="10"/>
      <c r="AE91" s="10"/>
      <c r="AF91" s="10"/>
      <c r="AG91" s="10"/>
      <c r="AH91" s="10"/>
      <c r="AI91" s="10"/>
      <c r="AJ91" s="11"/>
      <c r="AK91" s="56" t="str">
        <f t="shared" si="5"/>
        <v/>
      </c>
      <c r="AL91" s="13"/>
      <c r="AM91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91" s="123">
        <f>IF(DONNEES[[#This Row],[DATE
PAIEMT]]="",0,DONNEES[[#This Row],[DATE
PAIEMT]])</f>
        <v>0</v>
      </c>
    </row>
    <row r="92" spans="1:40" x14ac:dyDescent="0.25">
      <c r="A92" s="136">
        <f>DONNEES[[#This Row],[AM]]</f>
        <v>44897</v>
      </c>
      <c r="B92" s="134">
        <f>WEEKDAY(DONNEES[[#This Row],[JOUR]],2)</f>
        <v>5</v>
      </c>
      <c r="C92" s="138">
        <f>_xlfn.ISOWEEKNUM(DONNEES[[#This Row],[AM]]-1)</f>
        <v>48</v>
      </c>
      <c r="D92" s="131">
        <v>44897</v>
      </c>
      <c r="E92" s="132">
        <f>DONNEES[[#This Row],[AM]]+1</f>
        <v>44898</v>
      </c>
      <c r="F92" s="16" t="s">
        <v>40</v>
      </c>
      <c r="G92" s="124">
        <v>20</v>
      </c>
      <c r="H92" s="15">
        <v>2</v>
      </c>
      <c r="I92" s="142" t="s">
        <v>151</v>
      </c>
      <c r="J92" s="16" t="s">
        <v>41</v>
      </c>
      <c r="K92" s="17">
        <v>147.6</v>
      </c>
      <c r="L92" s="18"/>
      <c r="M92" s="18"/>
      <c r="N92" s="19"/>
      <c r="O92" s="13"/>
      <c r="P92" s="10"/>
      <c r="Q92" s="10"/>
      <c r="R92" s="10"/>
      <c r="S92" s="10"/>
      <c r="T92" s="10"/>
      <c r="U92" s="10"/>
      <c r="V92" s="10"/>
      <c r="W92" s="11"/>
      <c r="X92" s="9"/>
      <c r="Y92" s="11"/>
      <c r="Z92" s="8" t="str">
        <f>IF(SUM(O92:W92)=0,IF(DONNEES[[#This Row],[ACPTE RECU]]-DONNEES[[#This Row],[ACPTE RENDU]]=0,"",DONNEES[[#This Row],[ACPTE RECU]]-DONNEES[[#This Row],[ACPTE RENDU]]),SUM(O92:W92)+DONNEES[[#This Row],[ACPTE RECU]]-DONNEES[[#This Row],[ACPTE RENDU]])</f>
        <v/>
      </c>
      <c r="AA92" s="14" t="str">
        <f>IF(DONNEES[[#This Row],[DEP
REC]]="D",DONNEES[[#This Row],[DEPART]],"")</f>
        <v/>
      </c>
      <c r="AB92" s="55"/>
      <c r="AC92" s="10"/>
      <c r="AD92" s="10"/>
      <c r="AE92" s="10"/>
      <c r="AF92" s="10"/>
      <c r="AG92" s="10"/>
      <c r="AH92" s="10"/>
      <c r="AI92" s="10"/>
      <c r="AJ92" s="11"/>
      <c r="AK92" s="56" t="str">
        <f t="shared" si="5"/>
        <v/>
      </c>
      <c r="AL92" s="13"/>
      <c r="AM92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92" s="123">
        <f>IF(DONNEES[[#This Row],[DATE
PAIEMT]]="",0,DONNEES[[#This Row],[DATE
PAIEMT]])</f>
        <v>0</v>
      </c>
    </row>
    <row r="93" spans="1:40" x14ac:dyDescent="0.25">
      <c r="A93" s="136">
        <f>DONNEES[[#This Row],[AM]]</f>
        <v>44897</v>
      </c>
      <c r="B93" s="134">
        <f>WEEKDAY(DONNEES[[#This Row],[JOUR]],2)</f>
        <v>5</v>
      </c>
      <c r="C93" s="138">
        <f>_xlfn.ISOWEEKNUM(DONNEES[[#This Row],[AM]]-1)</f>
        <v>48</v>
      </c>
      <c r="D93" s="131">
        <v>44897</v>
      </c>
      <c r="E93" s="132">
        <f>DONNEES[[#This Row],[AM]]+1</f>
        <v>44898</v>
      </c>
      <c r="F93" s="16" t="s">
        <v>39</v>
      </c>
      <c r="G93" s="124">
        <v>21</v>
      </c>
      <c r="H93" s="15">
        <v>2</v>
      </c>
      <c r="I93" s="142" t="s">
        <v>164</v>
      </c>
      <c r="J93" s="16" t="s">
        <v>41</v>
      </c>
      <c r="K93" s="17">
        <v>157.5</v>
      </c>
      <c r="L93" s="18"/>
      <c r="M93" s="18"/>
      <c r="N93" s="19"/>
      <c r="O93" s="13">
        <v>158.4</v>
      </c>
      <c r="P93" s="10"/>
      <c r="Q93" s="10"/>
      <c r="R93" s="10"/>
      <c r="S93" s="10"/>
      <c r="T93" s="10"/>
      <c r="U93" s="10"/>
      <c r="V93" s="10"/>
      <c r="W93" s="11">
        <v>0.9</v>
      </c>
      <c r="X93" s="9"/>
      <c r="Y93" s="11"/>
      <c r="Z93" s="8">
        <f>IF(SUM(O93:W93)=0,IF(DONNEES[[#This Row],[ACPTE RECU]]-DONNEES[[#This Row],[ACPTE RENDU]]=0,"",DONNEES[[#This Row],[ACPTE RECU]]-DONNEES[[#This Row],[ACPTE RENDU]]),SUM(O93:W93)+DONNEES[[#This Row],[ACPTE RECU]]-DONNEES[[#This Row],[ACPTE RENDU]])</f>
        <v>159.30000000000001</v>
      </c>
      <c r="AA93" s="14">
        <f>IF(DONNEES[[#This Row],[DEP
REC]]="D",DONNEES[[#This Row],[DEPART]],"")</f>
        <v>44898</v>
      </c>
      <c r="AB93" s="55">
        <v>159.30000000000001</v>
      </c>
      <c r="AC93" s="10"/>
      <c r="AD93" s="10"/>
      <c r="AE93" s="10"/>
      <c r="AF93" s="10"/>
      <c r="AG93" s="10"/>
      <c r="AH93" s="10"/>
      <c r="AI93" s="10"/>
      <c r="AJ93" s="11"/>
      <c r="AK93" s="56">
        <f t="shared" si="5"/>
        <v>159.30000000000001</v>
      </c>
      <c r="AL93" s="13"/>
      <c r="AM93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93" s="123">
        <f>IF(DONNEES[[#This Row],[DATE
PAIEMT]]="",0,DONNEES[[#This Row],[DATE
PAIEMT]])</f>
        <v>44898</v>
      </c>
    </row>
    <row r="94" spans="1:40" x14ac:dyDescent="0.25">
      <c r="A94" s="136">
        <f>DONNEES[[#This Row],[AM]]</f>
        <v>44897</v>
      </c>
      <c r="B94" s="134">
        <f>WEEKDAY(DONNEES[[#This Row],[JOUR]],2)</f>
        <v>5</v>
      </c>
      <c r="C94" s="138">
        <f>_xlfn.ISOWEEKNUM(DONNEES[[#This Row],[AM]]-1)</f>
        <v>48</v>
      </c>
      <c r="D94" s="131">
        <v>44897</v>
      </c>
      <c r="E94" s="132">
        <f>DONNEES[[#This Row],[AM]]+1</f>
        <v>44898</v>
      </c>
      <c r="F94" s="16" t="s">
        <v>40</v>
      </c>
      <c r="G94" s="124">
        <v>6</v>
      </c>
      <c r="H94" s="15">
        <v>3</v>
      </c>
      <c r="I94" s="142" t="s">
        <v>161</v>
      </c>
      <c r="J94" s="16" t="s">
        <v>22</v>
      </c>
      <c r="K94" s="17">
        <v>205</v>
      </c>
      <c r="L94" s="18">
        <v>3</v>
      </c>
      <c r="M94" s="18"/>
      <c r="N94" s="19">
        <v>5</v>
      </c>
      <c r="O94" s="13"/>
      <c r="P94" s="10"/>
      <c r="Q94" s="10"/>
      <c r="R94" s="10"/>
      <c r="S94" s="10"/>
      <c r="T94" s="10"/>
      <c r="U94" s="10"/>
      <c r="V94" s="10"/>
      <c r="W94" s="11"/>
      <c r="X94" s="9"/>
      <c r="Y94" s="11"/>
      <c r="Z94" s="8" t="str">
        <f>IF(SUM(O94:W94)=0,IF(DONNEES[[#This Row],[ACPTE RECU]]-DONNEES[[#This Row],[ACPTE RENDU]]=0,"",DONNEES[[#This Row],[ACPTE RECU]]-DONNEES[[#This Row],[ACPTE RENDU]]),SUM(O94:W94)+DONNEES[[#This Row],[ACPTE RECU]]-DONNEES[[#This Row],[ACPTE RENDU]])</f>
        <v/>
      </c>
      <c r="AA94" s="14" t="str">
        <f>IF(DONNEES[[#This Row],[DEP
REC]]="D",DONNEES[[#This Row],[DEPART]],"")</f>
        <v/>
      </c>
      <c r="AB94" s="55"/>
      <c r="AC94" s="10"/>
      <c r="AD94" s="10"/>
      <c r="AE94" s="10"/>
      <c r="AF94" s="10"/>
      <c r="AG94" s="10"/>
      <c r="AH94" s="10"/>
      <c r="AI94" s="10"/>
      <c r="AJ94" s="11"/>
      <c r="AK94" s="56" t="str">
        <f t="shared" si="5"/>
        <v/>
      </c>
      <c r="AL94" s="13"/>
      <c r="AM94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94" s="123">
        <f>IF(DONNEES[[#This Row],[DATE
PAIEMT]]="",0,DONNEES[[#This Row],[DATE
PAIEMT]])</f>
        <v>0</v>
      </c>
    </row>
    <row r="95" spans="1:40" x14ac:dyDescent="0.25">
      <c r="A95" s="136">
        <f>DONNEES[[#This Row],[AM]]</f>
        <v>44897</v>
      </c>
      <c r="B95" s="134">
        <f>WEEKDAY(DONNEES[[#This Row],[JOUR]],2)</f>
        <v>5</v>
      </c>
      <c r="C95" s="138">
        <f>_xlfn.ISOWEEKNUM(DONNEES[[#This Row],[AM]]-1)</f>
        <v>48</v>
      </c>
      <c r="D95" s="131">
        <v>44897</v>
      </c>
      <c r="E95" s="132">
        <f>DONNEES[[#This Row],[AM]]+1</f>
        <v>44898</v>
      </c>
      <c r="F95" s="16" t="s">
        <v>39</v>
      </c>
      <c r="G95" s="124">
        <v>15</v>
      </c>
      <c r="H95" s="15">
        <v>3</v>
      </c>
      <c r="I95" s="142" t="s">
        <v>165</v>
      </c>
      <c r="J95" s="16" t="s">
        <v>22</v>
      </c>
      <c r="K95" s="17">
        <v>122.4</v>
      </c>
      <c r="L95" s="18">
        <v>2</v>
      </c>
      <c r="M95" s="18"/>
      <c r="N95" s="19"/>
      <c r="O95" s="13">
        <f>122.4+1.8</f>
        <v>124.2</v>
      </c>
      <c r="P95" s="10">
        <v>24</v>
      </c>
      <c r="Q95" s="10"/>
      <c r="R95" s="10"/>
      <c r="S95" s="10"/>
      <c r="T95" s="10"/>
      <c r="U95" s="10"/>
      <c r="V95" s="10"/>
      <c r="W95" s="11">
        <v>0.9</v>
      </c>
      <c r="X95" s="9"/>
      <c r="Y95" s="11"/>
      <c r="Z95" s="8">
        <f>IF(SUM(O95:W95)=0,IF(DONNEES[[#This Row],[ACPTE RECU]]-DONNEES[[#This Row],[ACPTE RENDU]]=0,"",DONNEES[[#This Row],[ACPTE RECU]]-DONNEES[[#This Row],[ACPTE RENDU]]),SUM(O95:W95)+DONNEES[[#This Row],[ACPTE RECU]]-DONNEES[[#This Row],[ACPTE RENDU]])</f>
        <v>149.1</v>
      </c>
      <c r="AA95" s="14">
        <f>IF(DONNEES[[#This Row],[DEP
REC]]="D",DONNEES[[#This Row],[DEPART]],"")</f>
        <v>44898</v>
      </c>
      <c r="AB95" s="55">
        <v>149.1</v>
      </c>
      <c r="AC95" s="10"/>
      <c r="AD95" s="10"/>
      <c r="AE95" s="10"/>
      <c r="AF95" s="10"/>
      <c r="AG95" s="10"/>
      <c r="AH95" s="10"/>
      <c r="AI95" s="10"/>
      <c r="AJ95" s="11"/>
      <c r="AK95" s="56">
        <f t="shared" si="5"/>
        <v>149.1</v>
      </c>
      <c r="AL95" s="13"/>
      <c r="AM95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95" s="123">
        <f>IF(DONNEES[[#This Row],[DATE
PAIEMT]]="",0,DONNEES[[#This Row],[DATE
PAIEMT]])</f>
        <v>44898</v>
      </c>
    </row>
    <row r="96" spans="1:40" x14ac:dyDescent="0.25">
      <c r="A96" s="136">
        <f>DONNEES[[#This Row],[AM]]</f>
        <v>44897</v>
      </c>
      <c r="B96" s="134">
        <f>WEEKDAY(DONNEES[[#This Row],[JOUR]],2)</f>
        <v>5</v>
      </c>
      <c r="C96" s="138">
        <f>_xlfn.ISOWEEKNUM(DONNEES[[#This Row],[AM]]-1)</f>
        <v>48</v>
      </c>
      <c r="D96" s="131">
        <v>44897</v>
      </c>
      <c r="E96" s="132">
        <f>DONNEES[[#This Row],[AM]]+1</f>
        <v>44898</v>
      </c>
      <c r="F96" s="16" t="s">
        <v>40</v>
      </c>
      <c r="G96" s="124">
        <v>16</v>
      </c>
      <c r="H96" s="15">
        <v>2</v>
      </c>
      <c r="I96" s="142" t="s">
        <v>161</v>
      </c>
      <c r="J96" s="16" t="s">
        <v>22</v>
      </c>
      <c r="K96" s="17">
        <v>180</v>
      </c>
      <c r="L96" s="18">
        <v>1</v>
      </c>
      <c r="M96" s="18">
        <v>1</v>
      </c>
      <c r="N96" s="19"/>
      <c r="O96" s="13"/>
      <c r="P96" s="10"/>
      <c r="Q96" s="10"/>
      <c r="R96" s="10"/>
      <c r="S96" s="10"/>
      <c r="T96" s="10"/>
      <c r="U96" s="10"/>
      <c r="V96" s="10"/>
      <c r="W96" s="11"/>
      <c r="X96" s="9"/>
      <c r="Y96" s="11"/>
      <c r="Z96" s="8" t="str">
        <f>IF(SUM(O96:W96)=0,IF(DONNEES[[#This Row],[ACPTE RECU]]-DONNEES[[#This Row],[ACPTE RENDU]]=0,"",DONNEES[[#This Row],[ACPTE RECU]]-DONNEES[[#This Row],[ACPTE RENDU]]),SUM(O96:W96)+DONNEES[[#This Row],[ACPTE RECU]]-DONNEES[[#This Row],[ACPTE RENDU]])</f>
        <v/>
      </c>
      <c r="AA96" s="14" t="str">
        <f>IF(DONNEES[[#This Row],[DEP
REC]]="D",DONNEES[[#This Row],[DEPART]],"")</f>
        <v/>
      </c>
      <c r="AB96" s="55"/>
      <c r="AC96" s="10"/>
      <c r="AD96" s="10"/>
      <c r="AE96" s="10"/>
      <c r="AF96" s="10"/>
      <c r="AG96" s="10"/>
      <c r="AH96" s="10"/>
      <c r="AI96" s="10"/>
      <c r="AJ96" s="11"/>
      <c r="AK96" s="56" t="str">
        <f t="shared" si="5"/>
        <v/>
      </c>
      <c r="AL96" s="13"/>
      <c r="AM96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96" s="123">
        <f>IF(DONNEES[[#This Row],[DATE
PAIEMT]]="",0,DONNEES[[#This Row],[DATE
PAIEMT]])</f>
        <v>0</v>
      </c>
    </row>
    <row r="97" spans="1:40" x14ac:dyDescent="0.25">
      <c r="A97" s="136">
        <f>DONNEES[[#This Row],[AM]]</f>
        <v>44897</v>
      </c>
      <c r="B97" s="134">
        <f>WEEKDAY(DONNEES[[#This Row],[JOUR]],2)</f>
        <v>5</v>
      </c>
      <c r="C97" s="138">
        <f>_xlfn.ISOWEEKNUM(DONNEES[[#This Row],[AM]]-1)</f>
        <v>48</v>
      </c>
      <c r="D97" s="131">
        <v>44897</v>
      </c>
      <c r="E97" s="132">
        <f>DONNEES[[#This Row],[AM]]+1</f>
        <v>44898</v>
      </c>
      <c r="F97" s="16" t="s">
        <v>39</v>
      </c>
      <c r="G97" s="124">
        <v>24</v>
      </c>
      <c r="H97" s="15">
        <v>2</v>
      </c>
      <c r="I97" s="142" t="s">
        <v>166</v>
      </c>
      <c r="J97" s="16" t="s">
        <v>41</v>
      </c>
      <c r="K97" s="17">
        <v>208.8</v>
      </c>
      <c r="L97" s="18"/>
      <c r="M97" s="18"/>
      <c r="N97" s="19"/>
      <c r="O97" s="13">
        <v>209.7</v>
      </c>
      <c r="P97" s="10"/>
      <c r="Q97" s="10"/>
      <c r="R97" s="10"/>
      <c r="S97" s="10"/>
      <c r="T97" s="10"/>
      <c r="U97" s="10"/>
      <c r="V97" s="10"/>
      <c r="W97" s="11">
        <v>0.9</v>
      </c>
      <c r="X97" s="9"/>
      <c r="Y97" s="11"/>
      <c r="Z97" s="8">
        <f>IF(SUM(O97:W97)=0,IF(DONNEES[[#This Row],[ACPTE RECU]]-DONNEES[[#This Row],[ACPTE RENDU]]=0,"",DONNEES[[#This Row],[ACPTE RECU]]-DONNEES[[#This Row],[ACPTE RENDU]]),SUM(O97:W97)+DONNEES[[#This Row],[ACPTE RECU]]-DONNEES[[#This Row],[ACPTE RENDU]])</f>
        <v>210.6</v>
      </c>
      <c r="AA97" s="14">
        <f>IF(DONNEES[[#This Row],[DEP
REC]]="D",DONNEES[[#This Row],[DEPART]],"")</f>
        <v>44898</v>
      </c>
      <c r="AB97" s="55">
        <v>186.3</v>
      </c>
      <c r="AC97" s="10"/>
      <c r="AD97" s="10"/>
      <c r="AE97" s="10"/>
      <c r="AF97" s="10"/>
      <c r="AG97" s="10"/>
      <c r="AH97" s="10"/>
      <c r="AI97" s="10"/>
      <c r="AJ97" s="11"/>
      <c r="AK97" s="56">
        <f t="shared" si="5"/>
        <v>186.3</v>
      </c>
      <c r="AL97" s="13"/>
      <c r="AM97" s="125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>24.299999999999983</v>
      </c>
      <c r="AN97" s="123">
        <f>IF(DONNEES[[#This Row],[DATE
PAIEMT]]="",0,DONNEES[[#This Row],[DATE
PAIEMT]])</f>
        <v>44898</v>
      </c>
    </row>
    <row r="98" spans="1:40" x14ac:dyDescent="0.25">
      <c r="A98" s="136">
        <f>DONNEES[[#This Row],[AM]]</f>
        <v>44897</v>
      </c>
      <c r="B98" s="134">
        <f>WEEKDAY(DONNEES[[#This Row],[JOUR]],2)</f>
        <v>5</v>
      </c>
      <c r="C98" s="138">
        <f>_xlfn.ISOWEEKNUM(DONNEES[[#This Row],[AM]]-1)</f>
        <v>48</v>
      </c>
      <c r="D98" s="131">
        <v>44897</v>
      </c>
      <c r="E98" s="132">
        <f>DONNEES[[#This Row],[AM]]+1</f>
        <v>44898</v>
      </c>
      <c r="F98" s="16" t="s">
        <v>39</v>
      </c>
      <c r="G98" s="124">
        <v>1</v>
      </c>
      <c r="H98" s="15">
        <v>0</v>
      </c>
      <c r="I98" s="142" t="s">
        <v>123</v>
      </c>
      <c r="J98" s="16" t="s">
        <v>22</v>
      </c>
      <c r="K98" s="17">
        <v>55.2</v>
      </c>
      <c r="L98" s="18"/>
      <c r="M98" s="18"/>
      <c r="N98" s="19"/>
      <c r="O98" s="13">
        <v>55.2</v>
      </c>
      <c r="P98" s="10"/>
      <c r="Q98" s="10"/>
      <c r="R98" s="10"/>
      <c r="S98" s="10"/>
      <c r="T98" s="10"/>
      <c r="U98" s="10"/>
      <c r="V98" s="10"/>
      <c r="W98" s="11"/>
      <c r="X98" s="9"/>
      <c r="Y98" s="11"/>
      <c r="Z98" s="8">
        <f>IF(SUM(O98:W98)=0,IF(DONNEES[[#This Row],[ACPTE RECU]]-DONNEES[[#This Row],[ACPTE RENDU]]=0,"",DONNEES[[#This Row],[ACPTE RECU]]-DONNEES[[#This Row],[ACPTE RENDU]]),SUM(O98:W98)+DONNEES[[#This Row],[ACPTE RECU]]-DONNEES[[#This Row],[ACPTE RENDU]])</f>
        <v>55.2</v>
      </c>
      <c r="AA98" s="14">
        <v>44897</v>
      </c>
      <c r="AB98" s="55"/>
      <c r="AC98" s="10"/>
      <c r="AD98" s="10">
        <v>55.2</v>
      </c>
      <c r="AE98" s="10"/>
      <c r="AF98" s="10"/>
      <c r="AG98" s="10"/>
      <c r="AH98" s="10"/>
      <c r="AI98" s="10"/>
      <c r="AJ98" s="11"/>
      <c r="AK98" s="56">
        <f>IF(SUM(AB98:AJ98)=0,"",SUM(AB98:AJ98))</f>
        <v>55.2</v>
      </c>
      <c r="AL98" s="13"/>
      <c r="AM98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98" s="123">
        <f>IF(DONNEES[[#This Row],[DATE
PAIEMT]]="",0,DONNEES[[#This Row],[DATE
PAIEMT]])</f>
        <v>44897</v>
      </c>
    </row>
    <row r="99" spans="1:40" x14ac:dyDescent="0.25">
      <c r="A99" s="136">
        <f>DONNEES[[#This Row],[AM]]</f>
        <v>44898</v>
      </c>
      <c r="B99" s="134">
        <f>WEEKDAY(DONNEES[[#This Row],[JOUR]],2)</f>
        <v>6</v>
      </c>
      <c r="C99" s="138">
        <f>_xlfn.ISOWEEKNUM(DONNEES[[#This Row],[AM]]-1)</f>
        <v>48</v>
      </c>
      <c r="D99" s="131">
        <v>44898</v>
      </c>
      <c r="E99" s="132">
        <f>DONNEES[[#This Row],[AM]]+1</f>
        <v>44899</v>
      </c>
      <c r="F99" s="16" t="s">
        <v>39</v>
      </c>
      <c r="G99" s="124">
        <v>1</v>
      </c>
      <c r="H99" s="15">
        <v>2</v>
      </c>
      <c r="I99" s="142" t="s">
        <v>167</v>
      </c>
      <c r="J99" s="16" t="s">
        <v>22</v>
      </c>
      <c r="K99" s="17">
        <v>113</v>
      </c>
      <c r="L99" s="18">
        <v>2</v>
      </c>
      <c r="M99" s="18"/>
      <c r="N99" s="19"/>
      <c r="O99" s="13">
        <v>114.8</v>
      </c>
      <c r="P99" s="10">
        <v>24</v>
      </c>
      <c r="Q99" s="10"/>
      <c r="R99" s="10"/>
      <c r="S99" s="10"/>
      <c r="T99" s="10"/>
      <c r="U99" s="10"/>
      <c r="V99" s="10"/>
      <c r="W99" s="11">
        <v>0.9</v>
      </c>
      <c r="X99" s="9"/>
      <c r="Y99" s="11"/>
      <c r="Z99" s="8">
        <f>IF(SUM(O99:W99)=0,IF(DONNEES[[#This Row],[ACPTE RECU]]-DONNEES[[#This Row],[ACPTE RENDU]]=0,"",DONNEES[[#This Row],[ACPTE RECU]]-DONNEES[[#This Row],[ACPTE RENDU]]),SUM(O99:W99)+DONNEES[[#This Row],[ACPTE RECU]]-DONNEES[[#This Row],[ACPTE RENDU]])</f>
        <v>139.70000000000002</v>
      </c>
      <c r="AA99" s="14">
        <v>44898</v>
      </c>
      <c r="AB99" s="55">
        <v>139.69999999999999</v>
      </c>
      <c r="AC99" s="10"/>
      <c r="AD99" s="10"/>
      <c r="AE99" s="10"/>
      <c r="AF99" s="10"/>
      <c r="AG99" s="10"/>
      <c r="AH99" s="10"/>
      <c r="AI99" s="10"/>
      <c r="AJ99" s="11"/>
      <c r="AK99" s="56">
        <f t="shared" ref="AK99:AK112" si="6">IF(SUM(AB99:AJ99)=0,"",SUM(AB99:AJ99))</f>
        <v>139.69999999999999</v>
      </c>
      <c r="AL99" s="13"/>
      <c r="AM99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99" s="123">
        <f>IF(DONNEES[[#This Row],[DATE
PAIEMT]]="",0,DONNEES[[#This Row],[DATE
PAIEMT]])</f>
        <v>44898</v>
      </c>
    </row>
    <row r="100" spans="1:40" x14ac:dyDescent="0.25">
      <c r="A100" s="136">
        <f>DONNEES[[#This Row],[AM]]</f>
        <v>44898</v>
      </c>
      <c r="B100" s="134">
        <f>WEEKDAY(DONNEES[[#This Row],[JOUR]],2)</f>
        <v>6</v>
      </c>
      <c r="C100" s="138">
        <f>_xlfn.ISOWEEKNUM(DONNEES[[#This Row],[AM]]-1)</f>
        <v>48</v>
      </c>
      <c r="D100" s="131">
        <v>44898</v>
      </c>
      <c r="E100" s="132">
        <f>DONNEES[[#This Row],[AM]]+1</f>
        <v>44899</v>
      </c>
      <c r="F100" s="16" t="s">
        <v>39</v>
      </c>
      <c r="G100" s="124">
        <v>26</v>
      </c>
      <c r="H100" s="15">
        <v>2</v>
      </c>
      <c r="I100" s="142" t="s">
        <v>168</v>
      </c>
      <c r="J100" s="16" t="s">
        <v>41</v>
      </c>
      <c r="K100" s="17">
        <v>132.30000000000001</v>
      </c>
      <c r="L100" s="18"/>
      <c r="M100" s="18">
        <v>1</v>
      </c>
      <c r="N100" s="19"/>
      <c r="O100" s="13">
        <v>133.19999999999999</v>
      </c>
      <c r="P100" s="10"/>
      <c r="Q100" s="10"/>
      <c r="R100" s="10"/>
      <c r="S100" s="10"/>
      <c r="T100" s="10">
        <v>15</v>
      </c>
      <c r="U100" s="10"/>
      <c r="V100" s="10"/>
      <c r="W100" s="11">
        <v>0.9</v>
      </c>
      <c r="X100" s="9"/>
      <c r="Y100" s="11"/>
      <c r="Z100" s="8">
        <f>IF(SUM(O100:W100)=0,IF(DONNEES[[#This Row],[ACPTE RECU]]-DONNEES[[#This Row],[ACPTE RENDU]]=0,"",DONNEES[[#This Row],[ACPTE RECU]]-DONNEES[[#This Row],[ACPTE RENDU]]),SUM(O100:W100)+DONNEES[[#This Row],[ACPTE RECU]]-DONNEES[[#This Row],[ACPTE RENDU]])</f>
        <v>149.1</v>
      </c>
      <c r="AA100" s="14">
        <f>IF(DONNEES[[#This Row],[DEP
REC]]="D",DONNEES[[#This Row],[DEPART]],"")</f>
        <v>44899</v>
      </c>
      <c r="AB100" s="55">
        <v>149.1</v>
      </c>
      <c r="AC100" s="10"/>
      <c r="AD100" s="10"/>
      <c r="AE100" s="10"/>
      <c r="AF100" s="10"/>
      <c r="AG100" s="10"/>
      <c r="AH100" s="10"/>
      <c r="AI100" s="10"/>
      <c r="AJ100" s="11"/>
      <c r="AK100" s="56">
        <f t="shared" si="6"/>
        <v>149.1</v>
      </c>
      <c r="AL100" s="13"/>
      <c r="AM100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00" s="123">
        <f>IF(DONNEES[[#This Row],[DATE
PAIEMT]]="",0,DONNEES[[#This Row],[DATE
PAIEMT]])</f>
        <v>44899</v>
      </c>
    </row>
    <row r="101" spans="1:40" x14ac:dyDescent="0.25">
      <c r="A101" s="136">
        <f>DONNEES[[#This Row],[AM]]</f>
        <v>44898</v>
      </c>
      <c r="B101" s="134">
        <f>WEEKDAY(DONNEES[[#This Row],[JOUR]],2)</f>
        <v>6</v>
      </c>
      <c r="C101" s="138">
        <f>_xlfn.ISOWEEKNUM(DONNEES[[#This Row],[AM]]-1)</f>
        <v>48</v>
      </c>
      <c r="D101" s="131">
        <v>44898</v>
      </c>
      <c r="E101" s="132">
        <f>DONNEES[[#This Row],[AM]]+1</f>
        <v>44899</v>
      </c>
      <c r="F101" s="16" t="s">
        <v>40</v>
      </c>
      <c r="G101" s="124">
        <v>27</v>
      </c>
      <c r="H101" s="15">
        <v>2</v>
      </c>
      <c r="I101" s="142" t="s">
        <v>169</v>
      </c>
      <c r="J101" s="16" t="s">
        <v>41</v>
      </c>
      <c r="K101" s="17">
        <v>157.5</v>
      </c>
      <c r="L101" s="18"/>
      <c r="M101" s="18"/>
      <c r="N101" s="19"/>
      <c r="O101" s="13"/>
      <c r="P101" s="10"/>
      <c r="Q101" s="10"/>
      <c r="R101" s="10"/>
      <c r="S101" s="10"/>
      <c r="T101" s="10"/>
      <c r="U101" s="10"/>
      <c r="V101" s="10"/>
      <c r="W101" s="11"/>
      <c r="X101" s="9"/>
      <c r="Y101" s="11"/>
      <c r="Z101" s="8" t="str">
        <f>IF(SUM(O101:W101)=0,IF(DONNEES[[#This Row],[ACPTE RECU]]-DONNEES[[#This Row],[ACPTE RENDU]]=0,"",DONNEES[[#This Row],[ACPTE RECU]]-DONNEES[[#This Row],[ACPTE RENDU]]),SUM(O101:W101)+DONNEES[[#This Row],[ACPTE RECU]]-DONNEES[[#This Row],[ACPTE RENDU]])</f>
        <v/>
      </c>
      <c r="AA101" s="14" t="str">
        <f>IF(DONNEES[[#This Row],[DEP
REC]]="D",DONNEES[[#This Row],[DEPART]],"")</f>
        <v/>
      </c>
      <c r="AB101" s="55"/>
      <c r="AC101" s="10"/>
      <c r="AD101" s="10"/>
      <c r="AE101" s="10"/>
      <c r="AF101" s="10"/>
      <c r="AG101" s="10"/>
      <c r="AH101" s="10"/>
      <c r="AI101" s="10"/>
      <c r="AJ101" s="11"/>
      <c r="AK101" s="56" t="str">
        <f t="shared" si="6"/>
        <v/>
      </c>
      <c r="AL101" s="13"/>
      <c r="AM101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01" s="123">
        <f>IF(DONNEES[[#This Row],[DATE
PAIEMT]]="",0,DONNEES[[#This Row],[DATE
PAIEMT]])</f>
        <v>0</v>
      </c>
    </row>
    <row r="102" spans="1:40" x14ac:dyDescent="0.25">
      <c r="A102" s="136">
        <f>DONNEES[[#This Row],[AM]]</f>
        <v>44898</v>
      </c>
      <c r="B102" s="134">
        <f>WEEKDAY(DONNEES[[#This Row],[JOUR]],2)</f>
        <v>6</v>
      </c>
      <c r="C102" s="138">
        <f>_xlfn.ISOWEEKNUM(DONNEES[[#This Row],[AM]]-1)</f>
        <v>48</v>
      </c>
      <c r="D102" s="131">
        <v>44898</v>
      </c>
      <c r="E102" s="132">
        <f>DONNEES[[#This Row],[AM]]+1</f>
        <v>44899</v>
      </c>
      <c r="F102" s="16" t="s">
        <v>39</v>
      </c>
      <c r="G102" s="124">
        <v>5</v>
      </c>
      <c r="H102" s="15">
        <v>2</v>
      </c>
      <c r="I102" s="142" t="s">
        <v>161</v>
      </c>
      <c r="J102" s="16" t="s">
        <v>22</v>
      </c>
      <c r="K102" s="17">
        <v>169</v>
      </c>
      <c r="L102" s="18">
        <v>2</v>
      </c>
      <c r="M102" s="18">
        <v>1</v>
      </c>
      <c r="N102" s="19"/>
      <c r="O102" s="13">
        <v>339.8</v>
      </c>
      <c r="P102" s="10">
        <v>48</v>
      </c>
      <c r="Q102" s="10"/>
      <c r="R102" s="10"/>
      <c r="S102" s="10"/>
      <c r="T102" s="10">
        <v>30</v>
      </c>
      <c r="U102" s="10"/>
      <c r="V102" s="10"/>
      <c r="W102" s="11">
        <v>1.8</v>
      </c>
      <c r="X102" s="9"/>
      <c r="Y102" s="11"/>
      <c r="Z102" s="8">
        <f>IF(SUM(O102:W102)=0,IF(DONNEES[[#This Row],[ACPTE RECU]]-DONNEES[[#This Row],[ACPTE RENDU]]=0,"",DONNEES[[#This Row],[ACPTE RECU]]-DONNEES[[#This Row],[ACPTE RENDU]]),SUM(O102:W102)+DONNEES[[#This Row],[ACPTE RECU]]-DONNEES[[#This Row],[ACPTE RENDU]])</f>
        <v>419.6</v>
      </c>
      <c r="AA102" s="14">
        <f>IF(DONNEES[[#This Row],[DEP
REC]]="D",DONNEES[[#This Row],[DEPART]],"")</f>
        <v>44899</v>
      </c>
      <c r="AB102" s="55"/>
      <c r="AC102" s="10"/>
      <c r="AD102" s="10"/>
      <c r="AE102" s="10"/>
      <c r="AF102" s="10"/>
      <c r="AG102" s="10"/>
      <c r="AH102" s="10"/>
      <c r="AI102" s="10"/>
      <c r="AJ102" s="11"/>
      <c r="AK102" s="56" t="str">
        <f t="shared" si="6"/>
        <v/>
      </c>
      <c r="AL102" s="13"/>
      <c r="AM102" s="125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>419.6</v>
      </c>
      <c r="AN102" s="123">
        <f>IF(DONNEES[[#This Row],[DATE
PAIEMT]]="",0,DONNEES[[#This Row],[DATE
PAIEMT]])</f>
        <v>44899</v>
      </c>
    </row>
    <row r="103" spans="1:40" x14ac:dyDescent="0.25">
      <c r="A103" s="136">
        <f>DONNEES[[#This Row],[AM]]</f>
        <v>44898</v>
      </c>
      <c r="B103" s="134">
        <f>WEEKDAY(DONNEES[[#This Row],[JOUR]],2)</f>
        <v>6</v>
      </c>
      <c r="C103" s="138">
        <f>_xlfn.ISOWEEKNUM(DONNEES[[#This Row],[AM]]-1)</f>
        <v>48</v>
      </c>
      <c r="D103" s="131">
        <v>44898</v>
      </c>
      <c r="E103" s="132">
        <f>DONNEES[[#This Row],[AM]]+1</f>
        <v>44899</v>
      </c>
      <c r="F103" s="16" t="s">
        <v>39</v>
      </c>
      <c r="G103" s="124">
        <v>12</v>
      </c>
      <c r="H103" s="15">
        <v>2</v>
      </c>
      <c r="I103" s="142" t="s">
        <v>43</v>
      </c>
      <c r="J103" s="16" t="s">
        <v>41</v>
      </c>
      <c r="K103" s="17">
        <v>132.30000000000001</v>
      </c>
      <c r="L103" s="18"/>
      <c r="M103" s="18"/>
      <c r="N103" s="19"/>
      <c r="O103" s="13">
        <v>133.19999999999999</v>
      </c>
      <c r="P103" s="10"/>
      <c r="Q103" s="10"/>
      <c r="R103" s="10"/>
      <c r="S103" s="10"/>
      <c r="T103" s="10"/>
      <c r="U103" s="10"/>
      <c r="V103" s="10"/>
      <c r="W103" s="11">
        <v>0.9</v>
      </c>
      <c r="X103" s="9"/>
      <c r="Y103" s="11"/>
      <c r="Z103" s="8">
        <f>IF(SUM(O103:W103)=0,IF(DONNEES[[#This Row],[ACPTE RECU]]-DONNEES[[#This Row],[ACPTE RENDU]]=0,"",DONNEES[[#This Row],[ACPTE RECU]]-DONNEES[[#This Row],[ACPTE RENDU]]),SUM(O103:W103)+DONNEES[[#This Row],[ACPTE RECU]]-DONNEES[[#This Row],[ACPTE RENDU]])</f>
        <v>134.1</v>
      </c>
      <c r="AA103" s="14">
        <f>IF(DONNEES[[#This Row],[DEP
REC]]="D",DONNEES[[#This Row],[DEPART]],"")</f>
        <v>44899</v>
      </c>
      <c r="AB103" s="55">
        <v>134.1</v>
      </c>
      <c r="AC103" s="10"/>
      <c r="AD103" s="10"/>
      <c r="AE103" s="10"/>
      <c r="AF103" s="10"/>
      <c r="AG103" s="10"/>
      <c r="AH103" s="10"/>
      <c r="AI103" s="10"/>
      <c r="AJ103" s="11"/>
      <c r="AK103" s="56">
        <f t="shared" si="6"/>
        <v>134.1</v>
      </c>
      <c r="AL103" s="13"/>
      <c r="AM103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03" s="123">
        <f>IF(DONNEES[[#This Row],[DATE
PAIEMT]]="",0,DONNEES[[#This Row],[DATE
PAIEMT]])</f>
        <v>44899</v>
      </c>
    </row>
    <row r="104" spans="1:40" x14ac:dyDescent="0.25">
      <c r="A104" s="136">
        <f>DONNEES[[#This Row],[AM]]</f>
        <v>44898</v>
      </c>
      <c r="B104" s="134">
        <f>WEEKDAY(DONNEES[[#This Row],[JOUR]],2)</f>
        <v>6</v>
      </c>
      <c r="C104" s="138">
        <f>_xlfn.ISOWEEKNUM(DONNEES[[#This Row],[AM]]-1)</f>
        <v>48</v>
      </c>
      <c r="D104" s="131">
        <v>44898</v>
      </c>
      <c r="E104" s="132">
        <f>DONNEES[[#This Row],[AM]]+1</f>
        <v>44899</v>
      </c>
      <c r="F104" s="16" t="s">
        <v>39</v>
      </c>
      <c r="G104" s="124">
        <v>20</v>
      </c>
      <c r="H104" s="15">
        <v>2</v>
      </c>
      <c r="I104" s="142" t="s">
        <v>151</v>
      </c>
      <c r="J104" s="16" t="s">
        <v>41</v>
      </c>
      <c r="K104" s="17">
        <v>147.6</v>
      </c>
      <c r="L104" s="18"/>
      <c r="M104" s="18"/>
      <c r="N104" s="19"/>
      <c r="O104" s="13">
        <v>908.10000000000014</v>
      </c>
      <c r="P104" s="10">
        <v>48</v>
      </c>
      <c r="Q104" s="10"/>
      <c r="R104" s="10"/>
      <c r="S104" s="10"/>
      <c r="T104" s="10"/>
      <c r="U104" s="10"/>
      <c r="V104" s="10"/>
      <c r="W104" s="11">
        <f>5*0.9</f>
        <v>4.5</v>
      </c>
      <c r="X104" s="9"/>
      <c r="Y104" s="11"/>
      <c r="Z104" s="8">
        <f>IF(SUM(O104:W104)=0,IF(DONNEES[[#This Row],[ACPTE RECU]]-DONNEES[[#This Row],[ACPTE RENDU]]=0,"",DONNEES[[#This Row],[ACPTE RECU]]-DONNEES[[#This Row],[ACPTE RENDU]]),SUM(O104:W104)+DONNEES[[#This Row],[ACPTE RECU]]-DONNEES[[#This Row],[ACPTE RENDU]])</f>
        <v>960.60000000000014</v>
      </c>
      <c r="AA104" s="14">
        <f>IF(DONNEES[[#This Row],[DEP
REC]]="D",DONNEES[[#This Row],[DEPART]],"")</f>
        <v>44899</v>
      </c>
      <c r="AB104" s="55">
        <v>960.6</v>
      </c>
      <c r="AC104" s="10"/>
      <c r="AD104" s="10"/>
      <c r="AE104" s="10"/>
      <c r="AF104" s="10"/>
      <c r="AG104" s="10"/>
      <c r="AH104" s="10"/>
      <c r="AI104" s="10"/>
      <c r="AJ104" s="11"/>
      <c r="AK104" s="56">
        <f t="shared" si="6"/>
        <v>960.6</v>
      </c>
      <c r="AL104" s="13"/>
      <c r="AM104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04" s="123">
        <f>IF(DONNEES[[#This Row],[DATE
PAIEMT]]="",0,DONNEES[[#This Row],[DATE
PAIEMT]])</f>
        <v>44899</v>
      </c>
    </row>
    <row r="105" spans="1:40" x14ac:dyDescent="0.25">
      <c r="A105" s="136">
        <f>DONNEES[[#This Row],[AM]]</f>
        <v>44898</v>
      </c>
      <c r="B105" s="134">
        <f>WEEKDAY(DONNEES[[#This Row],[JOUR]],2)</f>
        <v>6</v>
      </c>
      <c r="C105" s="138">
        <f>_xlfn.ISOWEEKNUM(DONNEES[[#This Row],[AM]]-1)</f>
        <v>48</v>
      </c>
      <c r="D105" s="131">
        <v>44898</v>
      </c>
      <c r="E105" s="132">
        <f>DONNEES[[#This Row],[AM]]+1</f>
        <v>44899</v>
      </c>
      <c r="F105" s="16" t="s">
        <v>39</v>
      </c>
      <c r="G105" s="124">
        <v>21</v>
      </c>
      <c r="H105" s="15">
        <v>2</v>
      </c>
      <c r="I105" s="142" t="s">
        <v>170</v>
      </c>
      <c r="J105" s="16" t="s">
        <v>22</v>
      </c>
      <c r="K105" s="17">
        <v>190</v>
      </c>
      <c r="L105" s="18"/>
      <c r="M105" s="18"/>
      <c r="N105" s="19"/>
      <c r="O105" s="13">
        <v>190.9</v>
      </c>
      <c r="P105" s="10"/>
      <c r="Q105" s="10"/>
      <c r="R105" s="10"/>
      <c r="S105" s="10"/>
      <c r="T105" s="10"/>
      <c r="U105" s="10"/>
      <c r="V105" s="10"/>
      <c r="W105" s="11">
        <v>0.9</v>
      </c>
      <c r="X105" s="9"/>
      <c r="Y105" s="11"/>
      <c r="Z105" s="8">
        <f>IF(SUM(O105:W105)=0,IF(DONNEES[[#This Row],[ACPTE RECU]]-DONNEES[[#This Row],[ACPTE RENDU]]=0,"",DONNEES[[#This Row],[ACPTE RECU]]-DONNEES[[#This Row],[ACPTE RENDU]]),SUM(O105:W105)+DONNEES[[#This Row],[ACPTE RECU]]-DONNEES[[#This Row],[ACPTE RENDU]])</f>
        <v>191.8</v>
      </c>
      <c r="AA105" s="14">
        <f>IF(DONNEES[[#This Row],[DEP
REC]]="D",DONNEES[[#This Row],[DEPART]],"")</f>
        <v>44899</v>
      </c>
      <c r="AB105" s="55"/>
      <c r="AC105" s="10"/>
      <c r="AD105" s="10"/>
      <c r="AE105" s="10"/>
      <c r="AF105" s="10"/>
      <c r="AG105" s="10">
        <v>190</v>
      </c>
      <c r="AH105" s="10">
        <v>1.8</v>
      </c>
      <c r="AI105" s="10"/>
      <c r="AJ105" s="11"/>
      <c r="AK105" s="56">
        <f t="shared" si="6"/>
        <v>191.8</v>
      </c>
      <c r="AL105" s="13"/>
      <c r="AM105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05" s="123">
        <f>IF(DONNEES[[#This Row],[DATE
PAIEMT]]="",0,DONNEES[[#This Row],[DATE
PAIEMT]])</f>
        <v>44899</v>
      </c>
    </row>
    <row r="106" spans="1:40" x14ac:dyDescent="0.25">
      <c r="A106" s="136">
        <f>DONNEES[[#This Row],[AM]]</f>
        <v>44898</v>
      </c>
      <c r="B106" s="134">
        <f>WEEKDAY(DONNEES[[#This Row],[JOUR]],2)</f>
        <v>6</v>
      </c>
      <c r="C106" s="138">
        <f>_xlfn.ISOWEEKNUM(DONNEES[[#This Row],[AM]]-1)</f>
        <v>48</v>
      </c>
      <c r="D106" s="131">
        <v>44898</v>
      </c>
      <c r="E106" s="132">
        <f>DONNEES[[#This Row],[AM]]+1</f>
        <v>44899</v>
      </c>
      <c r="F106" s="16" t="s">
        <v>39</v>
      </c>
      <c r="G106" s="124">
        <v>22</v>
      </c>
      <c r="H106" s="15">
        <v>2</v>
      </c>
      <c r="I106" s="142" t="s">
        <v>112</v>
      </c>
      <c r="J106" s="16" t="s">
        <v>22</v>
      </c>
      <c r="K106" s="17">
        <v>180</v>
      </c>
      <c r="L106" s="18">
        <v>2</v>
      </c>
      <c r="M106" s="18"/>
      <c r="N106" s="19"/>
      <c r="O106" s="13">
        <v>180.9</v>
      </c>
      <c r="P106" s="10">
        <v>24</v>
      </c>
      <c r="Q106" s="10"/>
      <c r="R106" s="10"/>
      <c r="S106" s="10"/>
      <c r="T106" s="10"/>
      <c r="U106" s="10"/>
      <c r="V106" s="10"/>
      <c r="W106" s="11">
        <v>0.9</v>
      </c>
      <c r="X106" s="9"/>
      <c r="Y106" s="11"/>
      <c r="Z106" s="8">
        <f>IF(SUM(O106:W106)=0,IF(DONNEES[[#This Row],[ACPTE RECU]]-DONNEES[[#This Row],[ACPTE RENDU]]=0,"",DONNEES[[#This Row],[ACPTE RECU]]-DONNEES[[#This Row],[ACPTE RENDU]]),SUM(O106:W106)+DONNEES[[#This Row],[ACPTE RECU]]-DONNEES[[#This Row],[ACPTE RENDU]])</f>
        <v>205.8</v>
      </c>
      <c r="AA106" s="14">
        <f>IF(DONNEES[[#This Row],[DEP
REC]]="D",DONNEES[[#This Row],[DEPART]],"")</f>
        <v>44899</v>
      </c>
      <c r="AB106" s="55">
        <v>205.8</v>
      </c>
      <c r="AC106" s="10"/>
      <c r="AD106" s="10"/>
      <c r="AE106" s="10"/>
      <c r="AF106" s="10"/>
      <c r="AG106" s="10"/>
      <c r="AH106" s="10"/>
      <c r="AI106" s="10"/>
      <c r="AJ106" s="11"/>
      <c r="AK106" s="56">
        <f t="shared" si="6"/>
        <v>205.8</v>
      </c>
      <c r="AL106" s="13"/>
      <c r="AM106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06" s="123">
        <f>IF(DONNEES[[#This Row],[DATE
PAIEMT]]="",0,DONNEES[[#This Row],[DATE
PAIEMT]])</f>
        <v>44899</v>
      </c>
    </row>
    <row r="107" spans="1:40" x14ac:dyDescent="0.25">
      <c r="A107" s="136">
        <f>DONNEES[[#This Row],[AM]]</f>
        <v>44898</v>
      </c>
      <c r="B107" s="134">
        <f>WEEKDAY(DONNEES[[#This Row],[JOUR]],2)</f>
        <v>6</v>
      </c>
      <c r="C107" s="138">
        <f>_xlfn.ISOWEEKNUM(DONNEES[[#This Row],[AM]]-1)</f>
        <v>48</v>
      </c>
      <c r="D107" s="131">
        <v>44898</v>
      </c>
      <c r="E107" s="132">
        <f>DONNEES[[#This Row],[AM]]+1</f>
        <v>44899</v>
      </c>
      <c r="F107" s="16" t="s">
        <v>40</v>
      </c>
      <c r="G107" s="124">
        <v>25</v>
      </c>
      <c r="H107" s="15">
        <v>2</v>
      </c>
      <c r="I107" s="142" t="s">
        <v>171</v>
      </c>
      <c r="J107" s="16" t="s">
        <v>41</v>
      </c>
      <c r="K107" s="17">
        <v>203.4</v>
      </c>
      <c r="L107" s="18">
        <v>2</v>
      </c>
      <c r="M107" s="18"/>
      <c r="N107" s="19"/>
      <c r="O107" s="13"/>
      <c r="P107" s="10"/>
      <c r="Q107" s="10"/>
      <c r="R107" s="10"/>
      <c r="S107" s="10"/>
      <c r="T107" s="10"/>
      <c r="U107" s="10"/>
      <c r="V107" s="10"/>
      <c r="W107" s="11"/>
      <c r="X107" s="9"/>
      <c r="Y107" s="11"/>
      <c r="Z107" s="8" t="str">
        <f>IF(SUM(O107:W107)=0,IF(DONNEES[[#This Row],[ACPTE RECU]]-DONNEES[[#This Row],[ACPTE RENDU]]=0,"",DONNEES[[#This Row],[ACPTE RECU]]-DONNEES[[#This Row],[ACPTE RENDU]]),SUM(O107:W107)+DONNEES[[#This Row],[ACPTE RECU]]-DONNEES[[#This Row],[ACPTE RENDU]])</f>
        <v/>
      </c>
      <c r="AA107" s="14" t="str">
        <f>IF(DONNEES[[#This Row],[DEP
REC]]="D",DONNEES[[#This Row],[DEPART]],"")</f>
        <v/>
      </c>
      <c r="AB107" s="55"/>
      <c r="AC107" s="10"/>
      <c r="AD107" s="10"/>
      <c r="AE107" s="10"/>
      <c r="AF107" s="10"/>
      <c r="AG107" s="10"/>
      <c r="AH107" s="10"/>
      <c r="AI107" s="10"/>
      <c r="AJ107" s="11"/>
      <c r="AK107" s="56" t="str">
        <f t="shared" si="6"/>
        <v/>
      </c>
      <c r="AL107" s="13"/>
      <c r="AM107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07" s="123">
        <f>IF(DONNEES[[#This Row],[DATE
PAIEMT]]="",0,DONNEES[[#This Row],[DATE
PAIEMT]])</f>
        <v>0</v>
      </c>
    </row>
    <row r="108" spans="1:40" x14ac:dyDescent="0.25">
      <c r="A108" s="136">
        <f>DONNEES[[#This Row],[AM]]</f>
        <v>44898</v>
      </c>
      <c r="B108" s="134">
        <f>WEEKDAY(DONNEES[[#This Row],[JOUR]],2)</f>
        <v>6</v>
      </c>
      <c r="C108" s="138">
        <f>_xlfn.ISOWEEKNUM(DONNEES[[#This Row],[AM]]-1)</f>
        <v>48</v>
      </c>
      <c r="D108" s="131">
        <v>44898</v>
      </c>
      <c r="E108" s="132">
        <f>DONNEES[[#This Row],[AM]]+1</f>
        <v>44899</v>
      </c>
      <c r="F108" s="16" t="s">
        <v>39</v>
      </c>
      <c r="G108" s="124">
        <v>6</v>
      </c>
      <c r="H108" s="15">
        <v>3</v>
      </c>
      <c r="I108" s="142" t="s">
        <v>161</v>
      </c>
      <c r="J108" s="16" t="s">
        <v>22</v>
      </c>
      <c r="K108" s="17">
        <v>205</v>
      </c>
      <c r="L108" s="18">
        <v>3</v>
      </c>
      <c r="M108" s="18"/>
      <c r="N108" s="19"/>
      <c r="O108" s="13">
        <v>588.6</v>
      </c>
      <c r="P108" s="10">
        <v>72</v>
      </c>
      <c r="Q108" s="10">
        <v>9</v>
      </c>
      <c r="R108" s="10"/>
      <c r="S108" s="10"/>
      <c r="T108" s="10"/>
      <c r="U108" s="10"/>
      <c r="V108" s="10"/>
      <c r="W108" s="11">
        <v>2.7</v>
      </c>
      <c r="X108" s="9"/>
      <c r="Y108" s="11"/>
      <c r="Z108" s="8">
        <f>IF(SUM(O108:W108)=0,IF(DONNEES[[#This Row],[ACPTE RECU]]-DONNEES[[#This Row],[ACPTE RENDU]]=0,"",DONNEES[[#This Row],[ACPTE RECU]]-DONNEES[[#This Row],[ACPTE RENDU]]),SUM(O108:W108)+DONNEES[[#This Row],[ACPTE RECU]]-DONNEES[[#This Row],[ACPTE RENDU]])</f>
        <v>672.30000000000007</v>
      </c>
      <c r="AA108" s="14">
        <f>IF(DONNEES[[#This Row],[DEP
REC]]="D",DONNEES[[#This Row],[DEPART]],"")</f>
        <v>44899</v>
      </c>
      <c r="AB108" s="55"/>
      <c r="AC108" s="10"/>
      <c r="AD108" s="10"/>
      <c r="AE108" s="10"/>
      <c r="AF108" s="10"/>
      <c r="AG108" s="10"/>
      <c r="AH108" s="10"/>
      <c r="AI108" s="10"/>
      <c r="AJ108" s="11"/>
      <c r="AK108" s="56" t="str">
        <f t="shared" si="6"/>
        <v/>
      </c>
      <c r="AL108" s="13"/>
      <c r="AM108" s="125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>672.30000000000007</v>
      </c>
      <c r="AN108" s="123">
        <f>IF(DONNEES[[#This Row],[DATE
PAIEMT]]="",0,DONNEES[[#This Row],[DATE
PAIEMT]])</f>
        <v>44899</v>
      </c>
    </row>
    <row r="109" spans="1:40" x14ac:dyDescent="0.25">
      <c r="A109" s="136">
        <f>DONNEES[[#This Row],[AM]]</f>
        <v>44898</v>
      </c>
      <c r="B109" s="134">
        <f>WEEKDAY(DONNEES[[#This Row],[JOUR]],2)</f>
        <v>6</v>
      </c>
      <c r="C109" s="138">
        <f>_xlfn.ISOWEEKNUM(DONNEES[[#This Row],[AM]]-1)</f>
        <v>48</v>
      </c>
      <c r="D109" s="131">
        <v>44898</v>
      </c>
      <c r="E109" s="132">
        <f>DONNEES[[#This Row],[AM]]+1</f>
        <v>44899</v>
      </c>
      <c r="F109" s="16" t="s">
        <v>39</v>
      </c>
      <c r="G109" s="124">
        <v>14</v>
      </c>
      <c r="H109" s="15">
        <v>2</v>
      </c>
      <c r="I109" s="142" t="s">
        <v>43</v>
      </c>
      <c r="J109" s="16" t="s">
        <v>22</v>
      </c>
      <c r="K109" s="17">
        <v>215</v>
      </c>
      <c r="L109" s="18">
        <v>2</v>
      </c>
      <c r="M109" s="18"/>
      <c r="N109" s="19"/>
      <c r="O109" s="13">
        <v>215.9</v>
      </c>
      <c r="P109" s="10">
        <v>24</v>
      </c>
      <c r="Q109" s="10"/>
      <c r="R109" s="10"/>
      <c r="S109" s="10"/>
      <c r="T109" s="10"/>
      <c r="U109" s="10"/>
      <c r="V109" s="10"/>
      <c r="W109" s="11">
        <v>0.9</v>
      </c>
      <c r="X109" s="9"/>
      <c r="Y109" s="11"/>
      <c r="Z109" s="8">
        <f>IF(SUM(O109:W109)=0,IF(DONNEES[[#This Row],[ACPTE RECU]]-DONNEES[[#This Row],[ACPTE RENDU]]=0,"",DONNEES[[#This Row],[ACPTE RECU]]-DONNEES[[#This Row],[ACPTE RENDU]]),SUM(O109:W109)+DONNEES[[#This Row],[ACPTE RECU]]-DONNEES[[#This Row],[ACPTE RENDU]])</f>
        <v>240.8</v>
      </c>
      <c r="AA109" s="14">
        <f>IF(DONNEES[[#This Row],[DEP
REC]]="D",DONNEES[[#This Row],[DEPART]],"")</f>
        <v>44899</v>
      </c>
      <c r="AB109" s="55">
        <v>240.8</v>
      </c>
      <c r="AC109" s="10"/>
      <c r="AD109" s="10"/>
      <c r="AE109" s="10"/>
      <c r="AF109" s="10"/>
      <c r="AG109" s="10"/>
      <c r="AH109" s="10"/>
      <c r="AI109" s="10"/>
      <c r="AJ109" s="11"/>
      <c r="AK109" s="56">
        <f t="shared" si="6"/>
        <v>240.8</v>
      </c>
      <c r="AL109" s="13"/>
      <c r="AM109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09" s="123">
        <f>IF(DONNEES[[#This Row],[DATE
PAIEMT]]="",0,DONNEES[[#This Row],[DATE
PAIEMT]])</f>
        <v>44899</v>
      </c>
    </row>
    <row r="110" spans="1:40" x14ac:dyDescent="0.25">
      <c r="A110" s="136">
        <f>DONNEES[[#This Row],[AM]]</f>
        <v>44898</v>
      </c>
      <c r="B110" s="134">
        <f>WEEKDAY(DONNEES[[#This Row],[JOUR]],2)</f>
        <v>6</v>
      </c>
      <c r="C110" s="138">
        <f>_xlfn.ISOWEEKNUM(DONNEES[[#This Row],[AM]]-1)</f>
        <v>48</v>
      </c>
      <c r="D110" s="131">
        <v>44898</v>
      </c>
      <c r="E110" s="132">
        <f>DONNEES[[#This Row],[AM]]+1</f>
        <v>44899</v>
      </c>
      <c r="F110" s="16" t="s">
        <v>40</v>
      </c>
      <c r="G110" s="124">
        <v>15</v>
      </c>
      <c r="H110" s="15">
        <v>3</v>
      </c>
      <c r="I110" s="142" t="s">
        <v>172</v>
      </c>
      <c r="J110" s="16" t="s">
        <v>41</v>
      </c>
      <c r="K110" s="17">
        <v>237.6</v>
      </c>
      <c r="L110" s="18"/>
      <c r="M110" s="18">
        <v>1</v>
      </c>
      <c r="N110" s="19"/>
      <c r="O110" s="13"/>
      <c r="P110" s="10"/>
      <c r="Q110" s="10"/>
      <c r="R110" s="10"/>
      <c r="S110" s="10"/>
      <c r="T110" s="10"/>
      <c r="U110" s="10"/>
      <c r="V110" s="10"/>
      <c r="W110" s="11"/>
      <c r="X110" s="9"/>
      <c r="Y110" s="11"/>
      <c r="Z110" s="8" t="str">
        <f>IF(SUM(O110:W110)=0,IF(DONNEES[[#This Row],[ACPTE RECU]]-DONNEES[[#This Row],[ACPTE RENDU]]=0,"",DONNEES[[#This Row],[ACPTE RECU]]-DONNEES[[#This Row],[ACPTE RENDU]]),SUM(O110:W110)+DONNEES[[#This Row],[ACPTE RECU]]-DONNEES[[#This Row],[ACPTE RENDU]])</f>
        <v/>
      </c>
      <c r="AA110" s="14" t="str">
        <f>IF(DONNEES[[#This Row],[DEP
REC]]="D",DONNEES[[#This Row],[DEPART]],"")</f>
        <v/>
      </c>
      <c r="AB110" s="55"/>
      <c r="AC110" s="10"/>
      <c r="AD110" s="10"/>
      <c r="AE110" s="10"/>
      <c r="AF110" s="10"/>
      <c r="AG110" s="10"/>
      <c r="AH110" s="10"/>
      <c r="AI110" s="10"/>
      <c r="AJ110" s="11"/>
      <c r="AK110" s="56" t="str">
        <f t="shared" si="6"/>
        <v/>
      </c>
      <c r="AL110" s="13"/>
      <c r="AM110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10" s="123">
        <f>IF(DONNEES[[#This Row],[DATE
PAIEMT]]="",0,DONNEES[[#This Row],[DATE
PAIEMT]])</f>
        <v>0</v>
      </c>
    </row>
    <row r="111" spans="1:40" x14ac:dyDescent="0.25">
      <c r="A111" s="136">
        <f>DONNEES[[#This Row],[AM]]</f>
        <v>44898</v>
      </c>
      <c r="B111" s="134">
        <f>WEEKDAY(DONNEES[[#This Row],[JOUR]],2)</f>
        <v>6</v>
      </c>
      <c r="C111" s="138">
        <f>_xlfn.ISOWEEKNUM(DONNEES[[#This Row],[AM]]-1)</f>
        <v>48</v>
      </c>
      <c r="D111" s="131">
        <v>44898</v>
      </c>
      <c r="E111" s="132">
        <f>DONNEES[[#This Row],[AM]]+1</f>
        <v>44899</v>
      </c>
      <c r="F111" s="16" t="s">
        <v>39</v>
      </c>
      <c r="G111" s="124">
        <v>16</v>
      </c>
      <c r="H111" s="15">
        <v>2</v>
      </c>
      <c r="I111" s="142" t="s">
        <v>161</v>
      </c>
      <c r="J111" s="16" t="s">
        <v>22</v>
      </c>
      <c r="K111" s="17">
        <v>180</v>
      </c>
      <c r="L111" s="18">
        <v>2</v>
      </c>
      <c r="M111" s="18"/>
      <c r="N111" s="19"/>
      <c r="O111" s="13">
        <f>2*180.9</f>
        <v>361.8</v>
      </c>
      <c r="P111" s="10">
        <v>36</v>
      </c>
      <c r="Q111" s="10"/>
      <c r="R111" s="10"/>
      <c r="S111" s="10"/>
      <c r="T111" s="10">
        <v>15</v>
      </c>
      <c r="U111" s="10"/>
      <c r="V111" s="10"/>
      <c r="W111" s="11">
        <v>1.8</v>
      </c>
      <c r="X111" s="9"/>
      <c r="Y111" s="11"/>
      <c r="Z111" s="8">
        <f>IF(SUM(O111:W111)=0,IF(DONNEES[[#This Row],[ACPTE RECU]]-DONNEES[[#This Row],[ACPTE RENDU]]=0,"",DONNEES[[#This Row],[ACPTE RECU]]-DONNEES[[#This Row],[ACPTE RENDU]]),SUM(O111:W111)+DONNEES[[#This Row],[ACPTE RECU]]-DONNEES[[#This Row],[ACPTE RENDU]])</f>
        <v>414.6</v>
      </c>
      <c r="AA111" s="14">
        <f>IF(DONNEES[[#This Row],[DEP
REC]]="D",DONNEES[[#This Row],[DEPART]],"")</f>
        <v>44899</v>
      </c>
      <c r="AB111" s="55">
        <v>1506.5</v>
      </c>
      <c r="AC111" s="10"/>
      <c r="AD111" s="10"/>
      <c r="AE111" s="10"/>
      <c r="AF111" s="10"/>
      <c r="AG111" s="10"/>
      <c r="AH111" s="10"/>
      <c r="AI111" s="10"/>
      <c r="AJ111" s="11"/>
      <c r="AK111" s="56">
        <f t="shared" si="6"/>
        <v>1506.5</v>
      </c>
      <c r="AL111" s="13"/>
      <c r="AM111" s="125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>-1091.9000000000001</v>
      </c>
      <c r="AN111" s="123">
        <f>IF(DONNEES[[#This Row],[DATE
PAIEMT]]="",0,DONNEES[[#This Row],[DATE
PAIEMT]])</f>
        <v>44899</v>
      </c>
    </row>
    <row r="112" spans="1:40" x14ac:dyDescent="0.25">
      <c r="A112" s="136">
        <f>DONNEES[[#This Row],[AM]]</f>
        <v>44898</v>
      </c>
      <c r="B112" s="134">
        <f>WEEKDAY(DONNEES[[#This Row],[JOUR]],2)</f>
        <v>6</v>
      </c>
      <c r="C112" s="138">
        <f>_xlfn.ISOWEEKNUM(DONNEES[[#This Row],[AM]]-1)</f>
        <v>48</v>
      </c>
      <c r="D112" s="131">
        <v>44898</v>
      </c>
      <c r="E112" s="132">
        <f>DONNEES[[#This Row],[AM]]+1</f>
        <v>44899</v>
      </c>
      <c r="F112" s="16" t="s">
        <v>39</v>
      </c>
      <c r="G112" s="124">
        <v>24</v>
      </c>
      <c r="H112" s="15">
        <v>3</v>
      </c>
      <c r="I112" s="142" t="s">
        <v>173</v>
      </c>
      <c r="J112" s="16" t="s">
        <v>41</v>
      </c>
      <c r="K112" s="17">
        <v>248.4</v>
      </c>
      <c r="L112" s="18"/>
      <c r="M112" s="18"/>
      <c r="N112" s="19"/>
      <c r="O112" s="13">
        <f>248.4+1.8</f>
        <v>250.20000000000002</v>
      </c>
      <c r="P112" s="10"/>
      <c r="Q112" s="10"/>
      <c r="R112" s="10"/>
      <c r="S112" s="10"/>
      <c r="T112" s="10"/>
      <c r="U112" s="10"/>
      <c r="V112" s="10"/>
      <c r="W112" s="11">
        <v>0.9</v>
      </c>
      <c r="X112" s="9"/>
      <c r="Y112" s="11"/>
      <c r="Z112" s="8">
        <f>IF(SUM(O112:W112)=0,IF(DONNEES[[#This Row],[ACPTE RECU]]-DONNEES[[#This Row],[ACPTE RENDU]]=0,"",DONNEES[[#This Row],[ACPTE RECU]]-DONNEES[[#This Row],[ACPTE RENDU]]),SUM(O112:W112)+DONNEES[[#This Row],[ACPTE RECU]]-DONNEES[[#This Row],[ACPTE RENDU]])</f>
        <v>251.10000000000002</v>
      </c>
      <c r="AA112" s="14">
        <f>IF(DONNEES[[#This Row],[DEP
REC]]="D",DONNEES[[#This Row],[DEPART]],"")</f>
        <v>44899</v>
      </c>
      <c r="AB112" s="55">
        <v>251.1</v>
      </c>
      <c r="AC112" s="10"/>
      <c r="AD112" s="10"/>
      <c r="AE112" s="10"/>
      <c r="AF112" s="10"/>
      <c r="AG112" s="10"/>
      <c r="AH112" s="10"/>
      <c r="AI112" s="10"/>
      <c r="AJ112" s="11"/>
      <c r="AK112" s="56">
        <f t="shared" si="6"/>
        <v>251.1</v>
      </c>
      <c r="AL112" s="13"/>
      <c r="AM112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12" s="123">
        <f>IF(DONNEES[[#This Row],[DATE
PAIEMT]]="",0,DONNEES[[#This Row],[DATE
PAIEMT]])</f>
        <v>44899</v>
      </c>
    </row>
    <row r="113" spans="1:40" x14ac:dyDescent="0.25">
      <c r="A113" s="136">
        <f>DONNEES[[#This Row],[AM]]</f>
        <v>44915</v>
      </c>
      <c r="B113" s="134">
        <f>WEEKDAY(DONNEES[[#This Row],[JOUR]],2)</f>
        <v>2</v>
      </c>
      <c r="C113" s="138">
        <f>_xlfn.ISOWEEKNUM(DONNEES[[#This Row],[AM]]-1)</f>
        <v>51</v>
      </c>
      <c r="D113" s="131">
        <v>44915</v>
      </c>
      <c r="E113" s="132">
        <f>DONNEES[[#This Row],[AM]]+1</f>
        <v>44916</v>
      </c>
      <c r="F113" s="16" t="s">
        <v>39</v>
      </c>
      <c r="G113" s="124">
        <v>27</v>
      </c>
      <c r="H113" s="15">
        <v>2</v>
      </c>
      <c r="I113" s="142" t="s">
        <v>112</v>
      </c>
      <c r="J113" s="16" t="s">
        <v>22</v>
      </c>
      <c r="K113" s="17">
        <v>95</v>
      </c>
      <c r="L113" s="18"/>
      <c r="M113" s="18"/>
      <c r="N113" s="19"/>
      <c r="O113" s="13">
        <f>2*95.9</f>
        <v>191.8</v>
      </c>
      <c r="P113" s="10"/>
      <c r="Q113" s="10"/>
      <c r="R113" s="10"/>
      <c r="S113" s="10"/>
      <c r="T113" s="10"/>
      <c r="U113" s="10"/>
      <c r="V113" s="10"/>
      <c r="W113" s="11">
        <v>1.8</v>
      </c>
      <c r="X113" s="9"/>
      <c r="Y113" s="11"/>
      <c r="Z113" s="8">
        <f>IF(SUM(O113:W113)=0,IF(DONNEES[[#This Row],[ACPTE RECU]]-DONNEES[[#This Row],[ACPTE RENDU]]=0,"",DONNEES[[#This Row],[ACPTE RECU]]-DONNEES[[#This Row],[ACPTE RENDU]]),SUM(O113:W113)+DONNEES[[#This Row],[ACPTE RECU]]-DONNEES[[#This Row],[ACPTE RENDU]])</f>
        <v>193.60000000000002</v>
      </c>
      <c r="AA113" s="14">
        <f>IF(DONNEES[[#This Row],[DEP
REC]]="D",DONNEES[[#This Row],[DEPART]],"")</f>
        <v>44916</v>
      </c>
      <c r="AB113" s="55"/>
      <c r="AC113" s="10"/>
      <c r="AD113" s="10">
        <v>193.6</v>
      </c>
      <c r="AE113" s="10"/>
      <c r="AF113" s="10"/>
      <c r="AG113" s="10"/>
      <c r="AH113" s="10"/>
      <c r="AI113" s="10"/>
      <c r="AJ113" s="11"/>
      <c r="AK113" s="56">
        <f t="shared" ref="AK113:AK122" si="7">IF(SUM(AB113:AJ113)=0,"",SUM(AB113:AJ113))</f>
        <v>193.6</v>
      </c>
      <c r="AL113" s="13"/>
      <c r="AM113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13" s="123">
        <f>IF(DONNEES[[#This Row],[DATE
PAIEMT]]="",0,DONNEES[[#This Row],[DATE
PAIEMT]])</f>
        <v>44916</v>
      </c>
    </row>
    <row r="114" spans="1:40" x14ac:dyDescent="0.25">
      <c r="A114" s="136">
        <f>DONNEES[[#This Row],[AM]]</f>
        <v>44915</v>
      </c>
      <c r="B114" s="134">
        <f>WEEKDAY(DONNEES[[#This Row],[JOUR]],2)</f>
        <v>2</v>
      </c>
      <c r="C114" s="138">
        <f>_xlfn.ISOWEEKNUM(DONNEES[[#This Row],[AM]]-1)</f>
        <v>51</v>
      </c>
      <c r="D114" s="131">
        <v>44915</v>
      </c>
      <c r="E114" s="132">
        <f>DONNEES[[#This Row],[AM]]+1</f>
        <v>44916</v>
      </c>
      <c r="F114" s="16" t="s">
        <v>39</v>
      </c>
      <c r="G114" s="124">
        <v>20</v>
      </c>
      <c r="H114" s="15">
        <v>2</v>
      </c>
      <c r="I114" s="142" t="s">
        <v>179</v>
      </c>
      <c r="J114" s="16" t="s">
        <v>22</v>
      </c>
      <c r="K114" s="17">
        <v>115</v>
      </c>
      <c r="L114" s="18">
        <v>2</v>
      </c>
      <c r="M114" s="18">
        <v>1</v>
      </c>
      <c r="N114" s="19">
        <v>3</v>
      </c>
      <c r="O114" s="13">
        <v>115.9</v>
      </c>
      <c r="P114" s="10">
        <v>24</v>
      </c>
      <c r="Q114" s="10"/>
      <c r="R114" s="10"/>
      <c r="S114" s="10"/>
      <c r="T114" s="10">
        <v>15</v>
      </c>
      <c r="U114" s="10"/>
      <c r="V114" s="10"/>
      <c r="W114" s="11">
        <v>0.9</v>
      </c>
      <c r="X114" s="9"/>
      <c r="Y114" s="11"/>
      <c r="Z114" s="8">
        <f>IF(SUM(O114:W114)=0,IF(DONNEES[[#This Row],[ACPTE RECU]]-DONNEES[[#This Row],[ACPTE RENDU]]=0,"",DONNEES[[#This Row],[ACPTE RECU]]-DONNEES[[#This Row],[ACPTE RENDU]]),SUM(O114:W114)+DONNEES[[#This Row],[ACPTE RECU]]-DONNEES[[#This Row],[ACPTE RENDU]])</f>
        <v>155.80000000000001</v>
      </c>
      <c r="AA114" s="14">
        <v>44915</v>
      </c>
      <c r="AB114" s="55">
        <v>155.80000000000001</v>
      </c>
      <c r="AC114" s="10"/>
      <c r="AD114" s="10"/>
      <c r="AE114" s="10"/>
      <c r="AF114" s="10"/>
      <c r="AG114" s="10"/>
      <c r="AH114" s="10"/>
      <c r="AI114" s="10"/>
      <c r="AJ114" s="11"/>
      <c r="AK114" s="56">
        <f t="shared" si="7"/>
        <v>155.80000000000001</v>
      </c>
      <c r="AL114" s="13"/>
      <c r="AM114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14" s="123">
        <f>IF(DONNEES[[#This Row],[DATE
PAIEMT]]="",0,DONNEES[[#This Row],[DATE
PAIEMT]])</f>
        <v>44915</v>
      </c>
    </row>
    <row r="115" spans="1:40" x14ac:dyDescent="0.25">
      <c r="A115" s="136">
        <f>DONNEES[[#This Row],[AM]]</f>
        <v>44915</v>
      </c>
      <c r="B115" s="134">
        <f>WEEKDAY(DONNEES[[#This Row],[JOUR]],2)</f>
        <v>2</v>
      </c>
      <c r="C115" s="138">
        <f>_xlfn.ISOWEEKNUM(DONNEES[[#This Row],[AM]]-1)</f>
        <v>51</v>
      </c>
      <c r="D115" s="131">
        <v>44915</v>
      </c>
      <c r="E115" s="132">
        <f>DONNEES[[#This Row],[AM]]+1</f>
        <v>44916</v>
      </c>
      <c r="F115" s="16" t="s">
        <v>39</v>
      </c>
      <c r="G115" s="124">
        <v>21</v>
      </c>
      <c r="H115" s="15">
        <v>2</v>
      </c>
      <c r="I115" s="142" t="s">
        <v>178</v>
      </c>
      <c r="J115" s="16" t="s">
        <v>22</v>
      </c>
      <c r="K115" s="17">
        <v>115</v>
      </c>
      <c r="L115" s="18"/>
      <c r="M115" s="18">
        <v>1</v>
      </c>
      <c r="N115" s="19"/>
      <c r="O115" s="13">
        <f>2*115.9</f>
        <v>231.8</v>
      </c>
      <c r="P115" s="10"/>
      <c r="Q115" s="10"/>
      <c r="R115" s="10"/>
      <c r="S115" s="10"/>
      <c r="T115" s="10">
        <v>30</v>
      </c>
      <c r="U115" s="10"/>
      <c r="V115" s="10"/>
      <c r="W115" s="11">
        <v>1.8</v>
      </c>
      <c r="X115" s="9"/>
      <c r="Y115" s="11"/>
      <c r="Z115" s="8">
        <f>IF(SUM(O115:W115)=0,IF(DONNEES[[#This Row],[ACPTE RECU]]-DONNEES[[#This Row],[ACPTE RENDU]]=0,"",DONNEES[[#This Row],[ACPTE RECU]]-DONNEES[[#This Row],[ACPTE RENDU]]),SUM(O115:W115)+DONNEES[[#This Row],[ACPTE RECU]]-DONNEES[[#This Row],[ACPTE RENDU]])</f>
        <v>263.60000000000002</v>
      </c>
      <c r="AA115" s="14">
        <f>IF(DONNEES[[#This Row],[DEP
REC]]="D",DONNEES[[#This Row],[DEPART]],"")</f>
        <v>44916</v>
      </c>
      <c r="AB115" s="55">
        <v>263.60000000000002</v>
      </c>
      <c r="AC115" s="10"/>
      <c r="AD115" s="10"/>
      <c r="AE115" s="10"/>
      <c r="AF115" s="10"/>
      <c r="AG115" s="10"/>
      <c r="AH115" s="10"/>
      <c r="AI115" s="10"/>
      <c r="AJ115" s="11"/>
      <c r="AK115" s="56">
        <f t="shared" si="7"/>
        <v>263.60000000000002</v>
      </c>
      <c r="AL115" s="13"/>
      <c r="AM115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15" s="123">
        <f>IF(DONNEES[[#This Row],[DATE
PAIEMT]]="",0,DONNEES[[#This Row],[DATE
PAIEMT]])</f>
        <v>44916</v>
      </c>
    </row>
    <row r="116" spans="1:40" x14ac:dyDescent="0.25">
      <c r="A116" s="136">
        <f>DONNEES[[#This Row],[AM]]</f>
        <v>44915</v>
      </c>
      <c r="B116" s="134">
        <f>WEEKDAY(DONNEES[[#This Row],[JOUR]],2)</f>
        <v>2</v>
      </c>
      <c r="C116" s="138">
        <f>_xlfn.ISOWEEKNUM(DONNEES[[#This Row],[AM]]-1)</f>
        <v>51</v>
      </c>
      <c r="D116" s="131">
        <v>44915</v>
      </c>
      <c r="E116" s="132">
        <f>DONNEES[[#This Row],[AM]]+1</f>
        <v>44916</v>
      </c>
      <c r="F116" s="16" t="s">
        <v>39</v>
      </c>
      <c r="G116" s="124">
        <v>22</v>
      </c>
      <c r="H116" s="15">
        <v>1</v>
      </c>
      <c r="I116" s="142" t="s">
        <v>177</v>
      </c>
      <c r="J116" s="16" t="s">
        <v>22</v>
      </c>
      <c r="K116" s="17">
        <v>125</v>
      </c>
      <c r="L116" s="18"/>
      <c r="M116" s="18"/>
      <c r="N116" s="19"/>
      <c r="O116" s="13">
        <f>160+3*125</f>
        <v>535</v>
      </c>
      <c r="P116" s="10">
        <v>48</v>
      </c>
      <c r="Q116" s="10"/>
      <c r="R116" s="10"/>
      <c r="S116" s="10"/>
      <c r="T116" s="10"/>
      <c r="U116" s="10"/>
      <c r="V116" s="10"/>
      <c r="W116" s="11">
        <v>3.6</v>
      </c>
      <c r="X116" s="9"/>
      <c r="Y116" s="11"/>
      <c r="Z116" s="8">
        <f>IF(SUM(O116:W116)=0,IF(DONNEES[[#This Row],[ACPTE RECU]]-DONNEES[[#This Row],[ACPTE RENDU]]=0,"",DONNEES[[#This Row],[ACPTE RECU]]-DONNEES[[#This Row],[ACPTE RENDU]]),SUM(O116:W116)+DONNEES[[#This Row],[ACPTE RECU]]-DONNEES[[#This Row],[ACPTE RENDU]])</f>
        <v>586.6</v>
      </c>
      <c r="AA116" s="14">
        <f>IF(DONNEES[[#This Row],[DEP
REC]]="D",DONNEES[[#This Row],[DEPART]],"")</f>
        <v>44916</v>
      </c>
      <c r="AB116" s="55"/>
      <c r="AC116" s="10"/>
      <c r="AD116" s="10">
        <v>586.6</v>
      </c>
      <c r="AE116" s="10"/>
      <c r="AF116" s="10"/>
      <c r="AG116" s="10"/>
      <c r="AH116" s="10"/>
      <c r="AI116" s="10"/>
      <c r="AJ116" s="11"/>
      <c r="AK116" s="56">
        <f t="shared" si="7"/>
        <v>586.6</v>
      </c>
      <c r="AL116" s="13"/>
      <c r="AM116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16" s="123">
        <f>IF(DONNEES[[#This Row],[DATE
PAIEMT]]="",0,DONNEES[[#This Row],[DATE
PAIEMT]])</f>
        <v>44916</v>
      </c>
    </row>
    <row r="117" spans="1:40" x14ac:dyDescent="0.25">
      <c r="A117" s="136">
        <f>DONNEES[[#This Row],[AM]]</f>
        <v>44915</v>
      </c>
      <c r="B117" s="134">
        <f>WEEKDAY(DONNEES[[#This Row],[JOUR]],2)</f>
        <v>2</v>
      </c>
      <c r="C117" s="138">
        <f>_xlfn.ISOWEEKNUM(DONNEES[[#This Row],[AM]]-1)</f>
        <v>51</v>
      </c>
      <c r="D117" s="131">
        <v>44915</v>
      </c>
      <c r="E117" s="132">
        <f>DONNEES[[#This Row],[AM]]+1</f>
        <v>44916</v>
      </c>
      <c r="F117" s="16" t="s">
        <v>40</v>
      </c>
      <c r="G117" s="124">
        <v>25</v>
      </c>
      <c r="H117" s="15">
        <v>1</v>
      </c>
      <c r="I117" s="142" t="s">
        <v>113</v>
      </c>
      <c r="J117" s="16" t="s">
        <v>22</v>
      </c>
      <c r="K117" s="17">
        <v>115</v>
      </c>
      <c r="L117" s="18">
        <v>1</v>
      </c>
      <c r="M117" s="18"/>
      <c r="N117" s="19"/>
      <c r="O117" s="13"/>
      <c r="P117" s="10"/>
      <c r="Q117" s="10"/>
      <c r="R117" s="10"/>
      <c r="S117" s="10"/>
      <c r="T117" s="10"/>
      <c r="U117" s="10"/>
      <c r="V117" s="10"/>
      <c r="W117" s="11"/>
      <c r="X117" s="9"/>
      <c r="Y117" s="11"/>
      <c r="Z117" s="8" t="str">
        <f>IF(SUM(O117:W117)=0,IF(DONNEES[[#This Row],[ACPTE RECU]]-DONNEES[[#This Row],[ACPTE RENDU]]=0,"",DONNEES[[#This Row],[ACPTE RECU]]-DONNEES[[#This Row],[ACPTE RENDU]]),SUM(O117:W117)+DONNEES[[#This Row],[ACPTE RECU]]-DONNEES[[#This Row],[ACPTE RENDU]])</f>
        <v/>
      </c>
      <c r="AA117" s="14" t="str">
        <f>IF(DONNEES[[#This Row],[DEP
REC]]="D",DONNEES[[#This Row],[DEPART]],"")</f>
        <v/>
      </c>
      <c r="AB117" s="55"/>
      <c r="AC117" s="10"/>
      <c r="AD117" s="10"/>
      <c r="AE117" s="10"/>
      <c r="AF117" s="10"/>
      <c r="AG117" s="10"/>
      <c r="AH117" s="10"/>
      <c r="AI117" s="10"/>
      <c r="AJ117" s="11"/>
      <c r="AK117" s="56" t="str">
        <f t="shared" si="7"/>
        <v/>
      </c>
      <c r="AL117" s="13"/>
      <c r="AM117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17" s="123">
        <f>IF(DONNEES[[#This Row],[DATE
PAIEMT]]="",0,DONNEES[[#This Row],[DATE
PAIEMT]])</f>
        <v>0</v>
      </c>
    </row>
    <row r="118" spans="1:40" x14ac:dyDescent="0.25">
      <c r="A118" s="136">
        <f>DONNEES[[#This Row],[AM]]</f>
        <v>44915</v>
      </c>
      <c r="B118" s="134">
        <f>WEEKDAY(DONNEES[[#This Row],[JOUR]],2)</f>
        <v>2</v>
      </c>
      <c r="C118" s="138">
        <f>_xlfn.ISOWEEKNUM(DONNEES[[#This Row],[AM]]-1)</f>
        <v>51</v>
      </c>
      <c r="D118" s="131">
        <v>44915</v>
      </c>
      <c r="E118" s="132">
        <f>DONNEES[[#This Row],[AM]]+1</f>
        <v>44916</v>
      </c>
      <c r="F118" s="16" t="s">
        <v>39</v>
      </c>
      <c r="G118" s="124">
        <v>6</v>
      </c>
      <c r="H118" s="15">
        <v>2</v>
      </c>
      <c r="I118" s="142" t="s">
        <v>180</v>
      </c>
      <c r="J118" s="16" t="s">
        <v>22</v>
      </c>
      <c r="K118" s="17">
        <v>115</v>
      </c>
      <c r="L118" s="18">
        <v>2</v>
      </c>
      <c r="M118" s="18"/>
      <c r="N118" s="19"/>
      <c r="O118" s="13">
        <v>115.9</v>
      </c>
      <c r="P118" s="10">
        <v>24</v>
      </c>
      <c r="Q118" s="10"/>
      <c r="R118" s="10"/>
      <c r="S118" s="10"/>
      <c r="T118" s="10"/>
      <c r="U118" s="10"/>
      <c r="V118" s="10"/>
      <c r="W118" s="11">
        <v>0.9</v>
      </c>
      <c r="X118" s="9"/>
      <c r="Y118" s="11"/>
      <c r="Z118" s="8">
        <f>IF(SUM(O118:W118)=0,IF(DONNEES[[#This Row],[ACPTE RECU]]-DONNEES[[#This Row],[ACPTE RENDU]]=0,"",DONNEES[[#This Row],[ACPTE RECU]]-DONNEES[[#This Row],[ACPTE RENDU]]),SUM(O118:W118)+DONNEES[[#This Row],[ACPTE RECU]]-DONNEES[[#This Row],[ACPTE RENDU]])</f>
        <v>140.80000000000001</v>
      </c>
      <c r="AA118" s="14">
        <v>44915</v>
      </c>
      <c r="AB118" s="55">
        <v>140.80000000000001</v>
      </c>
      <c r="AC118" s="10"/>
      <c r="AD118" s="10"/>
      <c r="AE118" s="10"/>
      <c r="AF118" s="10"/>
      <c r="AG118" s="10"/>
      <c r="AH118" s="10"/>
      <c r="AI118" s="10"/>
      <c r="AJ118" s="11"/>
      <c r="AK118" s="56">
        <f t="shared" si="7"/>
        <v>140.80000000000001</v>
      </c>
      <c r="AL118" s="13"/>
      <c r="AM118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18" s="123">
        <f>IF(DONNEES[[#This Row],[DATE
PAIEMT]]="",0,DONNEES[[#This Row],[DATE
PAIEMT]])</f>
        <v>44915</v>
      </c>
    </row>
    <row r="119" spans="1:40" x14ac:dyDescent="0.25">
      <c r="A119" s="136">
        <f>DONNEES[[#This Row],[AM]]</f>
        <v>44915</v>
      </c>
      <c r="B119" s="134">
        <f>WEEKDAY(DONNEES[[#This Row],[JOUR]],2)</f>
        <v>2</v>
      </c>
      <c r="C119" s="138">
        <f>_xlfn.ISOWEEKNUM(DONNEES[[#This Row],[AM]]-1)</f>
        <v>51</v>
      </c>
      <c r="D119" s="131">
        <v>44915</v>
      </c>
      <c r="E119" s="132">
        <f>DONNEES[[#This Row],[AM]]+1</f>
        <v>44916</v>
      </c>
      <c r="F119" s="16" t="s">
        <v>39</v>
      </c>
      <c r="G119" s="124">
        <v>14</v>
      </c>
      <c r="H119" s="15">
        <v>2</v>
      </c>
      <c r="I119" s="142" t="s">
        <v>181</v>
      </c>
      <c r="J119" s="16" t="s">
        <v>41</v>
      </c>
      <c r="K119" s="17">
        <v>96.3</v>
      </c>
      <c r="L119" s="18">
        <v>2</v>
      </c>
      <c r="M119" s="18"/>
      <c r="N119" s="19"/>
      <c r="O119" s="13">
        <v>97.2</v>
      </c>
      <c r="P119" s="10">
        <v>24</v>
      </c>
      <c r="Q119" s="10"/>
      <c r="R119" s="10"/>
      <c r="S119" s="10"/>
      <c r="T119" s="10"/>
      <c r="U119" s="10"/>
      <c r="V119" s="10"/>
      <c r="W119" s="11">
        <v>0.9</v>
      </c>
      <c r="X119" s="9"/>
      <c r="Y119" s="11"/>
      <c r="Z119" s="8">
        <f>IF(SUM(O119:W119)=0,IF(DONNEES[[#This Row],[ACPTE RECU]]-DONNEES[[#This Row],[ACPTE RENDU]]=0,"",DONNEES[[#This Row],[ACPTE RECU]]-DONNEES[[#This Row],[ACPTE RENDU]]),SUM(O119:W119)+DONNEES[[#This Row],[ACPTE RECU]]-DONNEES[[#This Row],[ACPTE RENDU]])</f>
        <v>122.10000000000001</v>
      </c>
      <c r="AA119" s="14">
        <f>IF(DONNEES[[#This Row],[DEP
REC]]="D",DONNEES[[#This Row],[DEPART]],"")</f>
        <v>44916</v>
      </c>
      <c r="AB119" s="55">
        <v>122.1</v>
      </c>
      <c r="AC119" s="10"/>
      <c r="AD119" s="10"/>
      <c r="AE119" s="10"/>
      <c r="AF119" s="10"/>
      <c r="AG119" s="10"/>
      <c r="AH119" s="10"/>
      <c r="AI119" s="10"/>
      <c r="AJ119" s="11"/>
      <c r="AK119" s="56">
        <f t="shared" si="7"/>
        <v>122.1</v>
      </c>
      <c r="AL119" s="13"/>
      <c r="AM119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19" s="123">
        <f>IF(DONNEES[[#This Row],[DATE
PAIEMT]]="",0,DONNEES[[#This Row],[DATE
PAIEMT]])</f>
        <v>44916</v>
      </c>
    </row>
    <row r="120" spans="1:40" x14ac:dyDescent="0.25">
      <c r="A120" s="136">
        <f>DONNEES[[#This Row],[AM]]</f>
        <v>44915</v>
      </c>
      <c r="B120" s="134">
        <f>WEEKDAY(DONNEES[[#This Row],[JOUR]],2)</f>
        <v>2</v>
      </c>
      <c r="C120" s="138">
        <f>_xlfn.ISOWEEKNUM(DONNEES[[#This Row],[AM]]-1)</f>
        <v>51</v>
      </c>
      <c r="D120" s="131">
        <v>44915</v>
      </c>
      <c r="E120" s="132">
        <f>DONNEES[[#This Row],[AM]]+1</f>
        <v>44916</v>
      </c>
      <c r="F120" s="16" t="s">
        <v>40</v>
      </c>
      <c r="G120" s="124">
        <v>15</v>
      </c>
      <c r="H120" s="15">
        <v>3</v>
      </c>
      <c r="I120" s="142" t="s">
        <v>182</v>
      </c>
      <c r="J120" s="16" t="s">
        <v>22</v>
      </c>
      <c r="K120" s="17">
        <v>205</v>
      </c>
      <c r="L120" s="18"/>
      <c r="M120" s="18"/>
      <c r="N120" s="19"/>
      <c r="O120" s="13"/>
      <c r="P120" s="10"/>
      <c r="Q120" s="10"/>
      <c r="R120" s="10"/>
      <c r="S120" s="10"/>
      <c r="T120" s="10"/>
      <c r="U120" s="10"/>
      <c r="V120" s="10"/>
      <c r="W120" s="11"/>
      <c r="X120" s="9"/>
      <c r="Y120" s="11"/>
      <c r="Z120" s="8" t="str">
        <f>IF(SUM(O120:W120)=0,IF(DONNEES[[#This Row],[ACPTE RECU]]-DONNEES[[#This Row],[ACPTE RENDU]]=0,"",DONNEES[[#This Row],[ACPTE RECU]]-DONNEES[[#This Row],[ACPTE RENDU]]),SUM(O120:W120)+DONNEES[[#This Row],[ACPTE RECU]]-DONNEES[[#This Row],[ACPTE RENDU]])</f>
        <v/>
      </c>
      <c r="AA120" s="14" t="str">
        <f>IF(DONNEES[[#This Row],[DEP
REC]]="D",DONNEES[[#This Row],[DEPART]],"")</f>
        <v/>
      </c>
      <c r="AB120" s="55"/>
      <c r="AC120" s="10"/>
      <c r="AD120" s="10"/>
      <c r="AE120" s="10"/>
      <c r="AF120" s="10"/>
      <c r="AG120" s="10"/>
      <c r="AH120" s="10"/>
      <c r="AI120" s="10"/>
      <c r="AJ120" s="11"/>
      <c r="AK120" s="56" t="str">
        <f t="shared" si="7"/>
        <v/>
      </c>
      <c r="AL120" s="13"/>
      <c r="AM120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20" s="123">
        <f>IF(DONNEES[[#This Row],[DATE
PAIEMT]]="",0,DONNEES[[#This Row],[DATE
PAIEMT]])</f>
        <v>0</v>
      </c>
    </row>
    <row r="121" spans="1:40" x14ac:dyDescent="0.25">
      <c r="A121" s="136">
        <f>DONNEES[[#This Row],[AM]]</f>
        <v>44915</v>
      </c>
      <c r="B121" s="134">
        <f>WEEKDAY(DONNEES[[#This Row],[JOUR]],2)</f>
        <v>2</v>
      </c>
      <c r="C121" s="138">
        <f>_xlfn.ISOWEEKNUM(DONNEES[[#This Row],[AM]]-1)</f>
        <v>51</v>
      </c>
      <c r="D121" s="131">
        <v>44915</v>
      </c>
      <c r="E121" s="132">
        <f>DONNEES[[#This Row],[AM]]+1</f>
        <v>44916</v>
      </c>
      <c r="F121" s="16" t="s">
        <v>39</v>
      </c>
      <c r="G121" s="124">
        <v>16</v>
      </c>
      <c r="H121" s="15">
        <v>2</v>
      </c>
      <c r="I121" s="142" t="s">
        <v>183</v>
      </c>
      <c r="J121" s="16" t="s">
        <v>41</v>
      </c>
      <c r="K121" s="17">
        <v>107</v>
      </c>
      <c r="L121" s="18"/>
      <c r="M121" s="18">
        <v>1</v>
      </c>
      <c r="N121" s="19"/>
      <c r="O121" s="13">
        <v>107.9</v>
      </c>
      <c r="P121" s="10"/>
      <c r="Q121" s="10"/>
      <c r="R121" s="10"/>
      <c r="S121" s="10"/>
      <c r="T121" s="10">
        <v>15</v>
      </c>
      <c r="U121" s="10"/>
      <c r="V121" s="10"/>
      <c r="W121" s="11">
        <v>0.9</v>
      </c>
      <c r="X121" s="9"/>
      <c r="Y121" s="11"/>
      <c r="Z121" s="8">
        <f>IF(SUM(O121:W121)=0,IF(DONNEES[[#This Row],[ACPTE RECU]]-DONNEES[[#This Row],[ACPTE RENDU]]=0,"",DONNEES[[#This Row],[ACPTE RECU]]-DONNEES[[#This Row],[ACPTE RENDU]]),SUM(O121:W121)+DONNEES[[#This Row],[ACPTE RECU]]-DONNEES[[#This Row],[ACPTE RENDU]])</f>
        <v>123.80000000000001</v>
      </c>
      <c r="AA121" s="14">
        <f>IF(DONNEES[[#This Row],[DEP
REC]]="D",DONNEES[[#This Row],[DEPART]],"")</f>
        <v>44916</v>
      </c>
      <c r="AB121" s="55">
        <v>123.8</v>
      </c>
      <c r="AC121" s="10"/>
      <c r="AD121" s="10"/>
      <c r="AE121" s="10"/>
      <c r="AF121" s="10"/>
      <c r="AG121" s="10"/>
      <c r="AH121" s="10"/>
      <c r="AI121" s="10"/>
      <c r="AJ121" s="11"/>
      <c r="AK121" s="56">
        <f t="shared" si="7"/>
        <v>123.8</v>
      </c>
      <c r="AL121" s="13"/>
      <c r="AM121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21" s="123">
        <f>IF(DONNEES[[#This Row],[DATE
PAIEMT]]="",0,DONNEES[[#This Row],[DATE
PAIEMT]])</f>
        <v>44916</v>
      </c>
    </row>
    <row r="122" spans="1:40" x14ac:dyDescent="0.25">
      <c r="A122" s="136">
        <f>DONNEES[[#This Row],[AM]]</f>
        <v>44915</v>
      </c>
      <c r="B122" s="134">
        <f>WEEKDAY(DONNEES[[#This Row],[JOUR]],2)</f>
        <v>2</v>
      </c>
      <c r="C122" s="138">
        <f>_xlfn.ISOWEEKNUM(DONNEES[[#This Row],[AM]]-1)</f>
        <v>51</v>
      </c>
      <c r="D122" s="131">
        <v>44915</v>
      </c>
      <c r="E122" s="132">
        <f>DONNEES[[#This Row],[AM]]+1</f>
        <v>44916</v>
      </c>
      <c r="F122" s="16" t="s">
        <v>39</v>
      </c>
      <c r="G122" s="124">
        <v>24</v>
      </c>
      <c r="H122" s="15">
        <v>2</v>
      </c>
      <c r="I122" s="142" t="s">
        <v>184</v>
      </c>
      <c r="J122" s="16" t="s">
        <v>22</v>
      </c>
      <c r="K122" s="17">
        <v>95</v>
      </c>
      <c r="L122" s="18">
        <v>2</v>
      </c>
      <c r="M122" s="18"/>
      <c r="N122" s="19"/>
      <c r="O122" s="13">
        <v>95.9</v>
      </c>
      <c r="P122" s="10">
        <v>24</v>
      </c>
      <c r="Q122" s="10"/>
      <c r="R122" s="10"/>
      <c r="S122" s="10"/>
      <c r="T122" s="10"/>
      <c r="U122" s="10"/>
      <c r="V122" s="10"/>
      <c r="W122" s="11">
        <v>0.9</v>
      </c>
      <c r="X122" s="9"/>
      <c r="Y122" s="11"/>
      <c r="Z122" s="8">
        <f>IF(SUM(O122:W122)=0,IF(DONNEES[[#This Row],[ACPTE RECU]]-DONNEES[[#This Row],[ACPTE RENDU]]=0,"",DONNEES[[#This Row],[ACPTE RECU]]-DONNEES[[#This Row],[ACPTE RENDU]]),SUM(O122:W122)+DONNEES[[#This Row],[ACPTE RECU]]-DONNEES[[#This Row],[ACPTE RENDU]])</f>
        <v>120.80000000000001</v>
      </c>
      <c r="AA122" s="14">
        <f>IF(DONNEES[[#This Row],[DEP
REC]]="D",DONNEES[[#This Row],[DEPART]],"")</f>
        <v>44916</v>
      </c>
      <c r="AB122" s="55">
        <v>120.8</v>
      </c>
      <c r="AC122" s="10"/>
      <c r="AD122" s="10"/>
      <c r="AE122" s="10"/>
      <c r="AF122" s="10"/>
      <c r="AG122" s="10"/>
      <c r="AH122" s="10"/>
      <c r="AI122" s="10"/>
      <c r="AJ122" s="11"/>
      <c r="AK122" s="56">
        <f t="shared" si="7"/>
        <v>120.8</v>
      </c>
      <c r="AL122" s="13"/>
      <c r="AM122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22" s="123">
        <f>IF(DONNEES[[#This Row],[DATE
PAIEMT]]="",0,DONNEES[[#This Row],[DATE
PAIEMT]])</f>
        <v>44916</v>
      </c>
    </row>
    <row r="123" spans="1:40" x14ac:dyDescent="0.25">
      <c r="A123" s="136">
        <f>DONNEES[[#This Row],[AM]]</f>
        <v>44917</v>
      </c>
      <c r="B123" s="134">
        <f>WEEKDAY(DONNEES[[#This Row],[JOUR]],2)</f>
        <v>4</v>
      </c>
      <c r="C123" s="138">
        <f>_xlfn.ISOWEEKNUM(DONNEES[[#This Row],[AM]]-1)</f>
        <v>51</v>
      </c>
      <c r="D123" s="131">
        <v>44917</v>
      </c>
      <c r="E123" s="132">
        <f>DONNEES[[#This Row],[AM]]+1</f>
        <v>44918</v>
      </c>
      <c r="F123" s="16" t="s">
        <v>39</v>
      </c>
      <c r="G123" s="124">
        <v>5</v>
      </c>
      <c r="H123" s="15">
        <v>2</v>
      </c>
      <c r="I123" s="142" t="s">
        <v>185</v>
      </c>
      <c r="J123" s="16" t="s">
        <v>41</v>
      </c>
      <c r="K123" s="17">
        <v>117</v>
      </c>
      <c r="L123" s="18"/>
      <c r="M123" s="18"/>
      <c r="N123" s="19"/>
      <c r="O123" s="13">
        <v>117.9</v>
      </c>
      <c r="P123" s="10"/>
      <c r="Q123" s="10"/>
      <c r="R123" s="10"/>
      <c r="S123" s="10"/>
      <c r="T123" s="10"/>
      <c r="U123" s="10"/>
      <c r="V123" s="10"/>
      <c r="W123" s="11">
        <v>0.9</v>
      </c>
      <c r="X123" s="9"/>
      <c r="Y123" s="11"/>
      <c r="Z123" s="8">
        <f>IF(SUM(O123:W123)=0,IF(DONNEES[[#This Row],[ACPTE RECU]]-DONNEES[[#This Row],[ACPTE RENDU]]=0,"",DONNEES[[#This Row],[ACPTE RECU]]-DONNEES[[#This Row],[ACPTE RENDU]]),SUM(O123:W123)+DONNEES[[#This Row],[ACPTE RECU]]-DONNEES[[#This Row],[ACPTE RENDU]])</f>
        <v>118.80000000000001</v>
      </c>
      <c r="AA123" s="14">
        <v>44917</v>
      </c>
      <c r="AB123" s="55">
        <v>118.8</v>
      </c>
      <c r="AC123" s="10"/>
      <c r="AD123" s="10"/>
      <c r="AE123" s="10"/>
      <c r="AF123" s="10"/>
      <c r="AG123" s="10"/>
      <c r="AH123" s="10"/>
      <c r="AI123" s="10"/>
      <c r="AJ123" s="11"/>
      <c r="AK123" s="56">
        <f t="shared" ref="AK123:AK132" si="8">IF(SUM(AB123:AJ123)=0,"",SUM(AB123:AJ123))</f>
        <v>118.8</v>
      </c>
      <c r="AL123" s="13"/>
      <c r="AM123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23" s="123">
        <f>IF(DONNEES[[#This Row],[DATE
PAIEMT]]="",0,DONNEES[[#This Row],[DATE
PAIEMT]])</f>
        <v>44917</v>
      </c>
    </row>
    <row r="124" spans="1:40" x14ac:dyDescent="0.25">
      <c r="A124" s="136">
        <f>DONNEES[[#This Row],[AM]]</f>
        <v>44917</v>
      </c>
      <c r="B124" s="134">
        <f>WEEKDAY(DONNEES[[#This Row],[JOUR]],2)</f>
        <v>4</v>
      </c>
      <c r="C124" s="138">
        <f>_xlfn.ISOWEEKNUM(DONNEES[[#This Row],[AM]]-1)</f>
        <v>51</v>
      </c>
      <c r="D124" s="131">
        <v>44917</v>
      </c>
      <c r="E124" s="132">
        <f>DONNEES[[#This Row],[AM]]+1</f>
        <v>44918</v>
      </c>
      <c r="F124" s="16" t="s">
        <v>39</v>
      </c>
      <c r="G124" s="124">
        <v>12</v>
      </c>
      <c r="H124" s="15">
        <v>2</v>
      </c>
      <c r="I124" s="142" t="s">
        <v>186</v>
      </c>
      <c r="J124" s="16" t="s">
        <v>41</v>
      </c>
      <c r="K124" s="17">
        <v>96.3</v>
      </c>
      <c r="L124" s="18">
        <v>2</v>
      </c>
      <c r="M124" s="18"/>
      <c r="N124" s="19"/>
      <c r="O124" s="13">
        <v>97.2</v>
      </c>
      <c r="P124" s="10">
        <v>24</v>
      </c>
      <c r="Q124" s="10"/>
      <c r="R124" s="10"/>
      <c r="S124" s="10"/>
      <c r="T124" s="10"/>
      <c r="U124" s="10"/>
      <c r="V124" s="10"/>
      <c r="W124" s="11">
        <v>0.9</v>
      </c>
      <c r="X124" s="9"/>
      <c r="Y124" s="11"/>
      <c r="Z124" s="8">
        <f>IF(SUM(O124:W124)=0,IF(DONNEES[[#This Row],[ACPTE RECU]]-DONNEES[[#This Row],[ACPTE RENDU]]=0,"",DONNEES[[#This Row],[ACPTE RECU]]-DONNEES[[#This Row],[ACPTE RENDU]]),SUM(O124:W124)+DONNEES[[#This Row],[ACPTE RECU]]-DONNEES[[#This Row],[ACPTE RENDU]])</f>
        <v>122.10000000000001</v>
      </c>
      <c r="AA124" s="14">
        <f>IF(DONNEES[[#This Row],[DEP
REC]]="D",DONNEES[[#This Row],[DEPART]],"")</f>
        <v>44918</v>
      </c>
      <c r="AB124" s="55">
        <v>122.1</v>
      </c>
      <c r="AC124" s="10"/>
      <c r="AD124" s="10"/>
      <c r="AE124" s="10"/>
      <c r="AF124" s="10"/>
      <c r="AG124" s="10"/>
      <c r="AH124" s="10"/>
      <c r="AI124" s="10"/>
      <c r="AJ124" s="11"/>
      <c r="AK124" s="56">
        <f t="shared" si="8"/>
        <v>122.1</v>
      </c>
      <c r="AL124" s="13"/>
      <c r="AM124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24" s="123">
        <f>IF(DONNEES[[#This Row],[DATE
PAIEMT]]="",0,DONNEES[[#This Row],[DATE
PAIEMT]])</f>
        <v>44918</v>
      </c>
    </row>
    <row r="125" spans="1:40" x14ac:dyDescent="0.25">
      <c r="A125" s="136">
        <f>DONNEES[[#This Row],[AM]]</f>
        <v>44917</v>
      </c>
      <c r="B125" s="134">
        <f>WEEKDAY(DONNEES[[#This Row],[JOUR]],2)</f>
        <v>4</v>
      </c>
      <c r="C125" s="138">
        <f>_xlfn.ISOWEEKNUM(DONNEES[[#This Row],[AM]]-1)</f>
        <v>51</v>
      </c>
      <c r="D125" s="131">
        <v>44917</v>
      </c>
      <c r="E125" s="132">
        <f>DONNEES[[#This Row],[AM]]+1</f>
        <v>44918</v>
      </c>
      <c r="F125" s="16" t="s">
        <v>39</v>
      </c>
      <c r="G125" s="124">
        <v>20</v>
      </c>
      <c r="H125" s="15">
        <v>2</v>
      </c>
      <c r="I125" s="142" t="s">
        <v>187</v>
      </c>
      <c r="J125" s="16" t="s">
        <v>22</v>
      </c>
      <c r="K125" s="17">
        <v>95</v>
      </c>
      <c r="L125" s="18"/>
      <c r="M125" s="18"/>
      <c r="N125" s="19"/>
      <c r="O125" s="13">
        <v>95.9</v>
      </c>
      <c r="P125" s="10"/>
      <c r="Q125" s="10"/>
      <c r="R125" s="10"/>
      <c r="S125" s="10"/>
      <c r="T125" s="10"/>
      <c r="U125" s="10"/>
      <c r="V125" s="10"/>
      <c r="W125" s="11">
        <v>0.9</v>
      </c>
      <c r="X125" s="9"/>
      <c r="Y125" s="11"/>
      <c r="Z125" s="8">
        <f>IF(SUM(O125:W125)=0,IF(DONNEES[[#This Row],[ACPTE RECU]]-DONNEES[[#This Row],[ACPTE RENDU]]=0,"",DONNEES[[#This Row],[ACPTE RECU]]-DONNEES[[#This Row],[ACPTE RENDU]]),SUM(O125:W125)+DONNEES[[#This Row],[ACPTE RECU]]-DONNEES[[#This Row],[ACPTE RENDU]])</f>
        <v>96.800000000000011</v>
      </c>
      <c r="AA125" s="14">
        <f>IF(DONNEES[[#This Row],[DEP
REC]]="D",DONNEES[[#This Row],[DEPART]],"")</f>
        <v>44918</v>
      </c>
      <c r="AB125" s="55">
        <v>96.8</v>
      </c>
      <c r="AC125" s="10"/>
      <c r="AD125" s="10"/>
      <c r="AE125" s="10"/>
      <c r="AF125" s="10"/>
      <c r="AG125" s="10"/>
      <c r="AH125" s="10"/>
      <c r="AI125" s="10"/>
      <c r="AJ125" s="11"/>
      <c r="AK125" s="56">
        <f t="shared" si="8"/>
        <v>96.8</v>
      </c>
      <c r="AL125" s="13"/>
      <c r="AM125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25" s="123">
        <f>IF(DONNEES[[#This Row],[DATE
PAIEMT]]="",0,DONNEES[[#This Row],[DATE
PAIEMT]])</f>
        <v>44918</v>
      </c>
    </row>
    <row r="126" spans="1:40" x14ac:dyDescent="0.25">
      <c r="A126" s="136">
        <f>DONNEES[[#This Row],[AM]]</f>
        <v>44917</v>
      </c>
      <c r="B126" s="134">
        <f>WEEKDAY(DONNEES[[#This Row],[JOUR]],2)</f>
        <v>4</v>
      </c>
      <c r="C126" s="138">
        <f>_xlfn.ISOWEEKNUM(DONNEES[[#This Row],[AM]]-1)</f>
        <v>51</v>
      </c>
      <c r="D126" s="131">
        <v>44917</v>
      </c>
      <c r="E126" s="132">
        <f>DONNEES[[#This Row],[AM]]+1</f>
        <v>44918</v>
      </c>
      <c r="F126" s="16" t="s">
        <v>39</v>
      </c>
      <c r="G126" s="124">
        <v>21</v>
      </c>
      <c r="H126" s="15">
        <v>2</v>
      </c>
      <c r="I126" s="142" t="s">
        <v>188</v>
      </c>
      <c r="J126" s="16" t="s">
        <v>41</v>
      </c>
      <c r="K126" s="17">
        <v>96.3</v>
      </c>
      <c r="L126" s="18"/>
      <c r="M126" s="18"/>
      <c r="N126" s="19"/>
      <c r="O126" s="13">
        <v>97.2</v>
      </c>
      <c r="P126" s="10"/>
      <c r="Q126" s="10"/>
      <c r="R126" s="10"/>
      <c r="S126" s="10"/>
      <c r="T126" s="10"/>
      <c r="U126" s="10"/>
      <c r="V126" s="10"/>
      <c r="W126" s="11">
        <v>0.9</v>
      </c>
      <c r="X126" s="9"/>
      <c r="Y126" s="11"/>
      <c r="Z126" s="8">
        <f>IF(SUM(O126:W126)=0,IF(DONNEES[[#This Row],[ACPTE RECU]]-DONNEES[[#This Row],[ACPTE RENDU]]=0,"",DONNEES[[#This Row],[ACPTE RECU]]-DONNEES[[#This Row],[ACPTE RENDU]]),SUM(O126:W126)+DONNEES[[#This Row],[ACPTE RECU]]-DONNEES[[#This Row],[ACPTE RENDU]])</f>
        <v>98.100000000000009</v>
      </c>
      <c r="AA126" s="14">
        <v>44917</v>
      </c>
      <c r="AB126" s="55">
        <v>98.1</v>
      </c>
      <c r="AC126" s="10"/>
      <c r="AD126" s="10"/>
      <c r="AE126" s="10"/>
      <c r="AF126" s="10"/>
      <c r="AG126" s="10"/>
      <c r="AH126" s="10"/>
      <c r="AI126" s="10"/>
      <c r="AJ126" s="11"/>
      <c r="AK126" s="56">
        <f t="shared" si="8"/>
        <v>98.1</v>
      </c>
      <c r="AL126" s="13"/>
      <c r="AM126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26" s="123">
        <f>IF(DONNEES[[#This Row],[DATE
PAIEMT]]="",0,DONNEES[[#This Row],[DATE
PAIEMT]])</f>
        <v>44917</v>
      </c>
    </row>
    <row r="127" spans="1:40" x14ac:dyDescent="0.25">
      <c r="A127" s="136">
        <f>DONNEES[[#This Row],[AM]]</f>
        <v>44917</v>
      </c>
      <c r="B127" s="134">
        <f>WEEKDAY(DONNEES[[#This Row],[JOUR]],2)</f>
        <v>4</v>
      </c>
      <c r="C127" s="138">
        <f>_xlfn.ISOWEEKNUM(DONNEES[[#This Row],[AM]]-1)</f>
        <v>51</v>
      </c>
      <c r="D127" s="131">
        <v>44917</v>
      </c>
      <c r="E127" s="132">
        <f>DONNEES[[#This Row],[AM]]+1</f>
        <v>44918</v>
      </c>
      <c r="F127" s="16" t="s">
        <v>39</v>
      </c>
      <c r="G127" s="124">
        <v>22</v>
      </c>
      <c r="H127" s="15">
        <v>1</v>
      </c>
      <c r="I127" s="142" t="s">
        <v>189</v>
      </c>
      <c r="J127" s="16" t="s">
        <v>41</v>
      </c>
      <c r="K127" s="17">
        <v>96.3</v>
      </c>
      <c r="L127" s="18">
        <v>1</v>
      </c>
      <c r="M127" s="18"/>
      <c r="N127" s="19"/>
      <c r="O127" s="13">
        <v>96.3</v>
      </c>
      <c r="P127" s="10">
        <v>12</v>
      </c>
      <c r="Q127" s="10"/>
      <c r="R127" s="10"/>
      <c r="S127" s="10"/>
      <c r="T127" s="10"/>
      <c r="U127" s="10"/>
      <c r="V127" s="10"/>
      <c r="W127" s="11">
        <v>0.9</v>
      </c>
      <c r="X127" s="9"/>
      <c r="Y127" s="11"/>
      <c r="Z127" s="8">
        <f>IF(SUM(O127:W127)=0,IF(DONNEES[[#This Row],[ACPTE RECU]]-DONNEES[[#This Row],[ACPTE RENDU]]=0,"",DONNEES[[#This Row],[ACPTE RECU]]-DONNEES[[#This Row],[ACPTE RENDU]]),SUM(O127:W127)+DONNEES[[#This Row],[ACPTE RECU]]-DONNEES[[#This Row],[ACPTE RENDU]])</f>
        <v>109.2</v>
      </c>
      <c r="AA127" s="14">
        <v>44917</v>
      </c>
      <c r="AB127" s="55">
        <v>109.2</v>
      </c>
      <c r="AC127" s="10"/>
      <c r="AD127" s="10"/>
      <c r="AE127" s="10"/>
      <c r="AF127" s="10"/>
      <c r="AG127" s="10"/>
      <c r="AH127" s="10"/>
      <c r="AI127" s="10"/>
      <c r="AJ127" s="11"/>
      <c r="AK127" s="56">
        <f t="shared" si="8"/>
        <v>109.2</v>
      </c>
      <c r="AL127" s="13"/>
      <c r="AM127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27" s="123">
        <f>IF(DONNEES[[#This Row],[DATE
PAIEMT]]="",0,DONNEES[[#This Row],[DATE
PAIEMT]])</f>
        <v>44917</v>
      </c>
    </row>
    <row r="128" spans="1:40" x14ac:dyDescent="0.25">
      <c r="A128" s="136">
        <f>DONNEES[[#This Row],[AM]]</f>
        <v>44917</v>
      </c>
      <c r="B128" s="134">
        <f>WEEKDAY(DONNEES[[#This Row],[JOUR]],2)</f>
        <v>4</v>
      </c>
      <c r="C128" s="138">
        <f>_xlfn.ISOWEEKNUM(DONNEES[[#This Row],[AM]]-1)</f>
        <v>51</v>
      </c>
      <c r="D128" s="131">
        <v>44917</v>
      </c>
      <c r="E128" s="132">
        <f>DONNEES[[#This Row],[AM]]+1</f>
        <v>44918</v>
      </c>
      <c r="F128" s="16" t="s">
        <v>39</v>
      </c>
      <c r="G128" s="124">
        <v>25</v>
      </c>
      <c r="H128" s="15">
        <v>1</v>
      </c>
      <c r="I128" s="142" t="s">
        <v>113</v>
      </c>
      <c r="J128" s="16" t="s">
        <v>22</v>
      </c>
      <c r="K128" s="17">
        <v>115</v>
      </c>
      <c r="L128" s="18">
        <v>1</v>
      </c>
      <c r="M128" s="18"/>
      <c r="N128" s="19"/>
      <c r="O128" s="13">
        <f>3*115</f>
        <v>345</v>
      </c>
      <c r="P128" s="10">
        <v>36</v>
      </c>
      <c r="Q128" s="10"/>
      <c r="R128" s="10"/>
      <c r="S128" s="10"/>
      <c r="T128" s="10"/>
      <c r="U128" s="10"/>
      <c r="V128" s="10"/>
      <c r="W128" s="11">
        <v>2.7</v>
      </c>
      <c r="X128" s="9"/>
      <c r="Y128" s="11"/>
      <c r="Z128" s="8">
        <f>IF(SUM(O128:W128)=0,IF(DONNEES[[#This Row],[ACPTE RECU]]-DONNEES[[#This Row],[ACPTE RENDU]]=0,"",DONNEES[[#This Row],[ACPTE RECU]]-DONNEES[[#This Row],[ACPTE RENDU]]),SUM(O128:W128)+DONNEES[[#This Row],[ACPTE RECU]]-DONNEES[[#This Row],[ACPTE RENDU]])</f>
        <v>383.7</v>
      </c>
      <c r="AA128" s="14">
        <f>IF(DONNEES[[#This Row],[DEP
REC]]="D",DONNEES[[#This Row],[DEPART]],"")</f>
        <v>44918</v>
      </c>
      <c r="AB128" s="55"/>
      <c r="AC128" s="10"/>
      <c r="AD128" s="10">
        <v>383.7</v>
      </c>
      <c r="AE128" s="10"/>
      <c r="AF128" s="10"/>
      <c r="AG128" s="10"/>
      <c r="AH128" s="10"/>
      <c r="AI128" s="10"/>
      <c r="AJ128" s="11"/>
      <c r="AK128" s="56">
        <f t="shared" si="8"/>
        <v>383.7</v>
      </c>
      <c r="AL128" s="13"/>
      <c r="AM128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28" s="123">
        <f>IF(DONNEES[[#This Row],[DATE
PAIEMT]]="",0,DONNEES[[#This Row],[DATE
PAIEMT]])</f>
        <v>44918</v>
      </c>
    </row>
    <row r="129" spans="1:40" x14ac:dyDescent="0.25">
      <c r="A129" s="136">
        <f>DONNEES[[#This Row],[AM]]</f>
        <v>44917</v>
      </c>
      <c r="B129" s="134">
        <f>WEEKDAY(DONNEES[[#This Row],[JOUR]],2)</f>
        <v>4</v>
      </c>
      <c r="C129" s="138">
        <f>_xlfn.ISOWEEKNUM(DONNEES[[#This Row],[AM]]-1)</f>
        <v>51</v>
      </c>
      <c r="D129" s="131">
        <v>44917</v>
      </c>
      <c r="E129" s="132">
        <f>DONNEES[[#This Row],[AM]]+1</f>
        <v>44918</v>
      </c>
      <c r="F129" s="16" t="s">
        <v>39</v>
      </c>
      <c r="G129" s="124">
        <v>14</v>
      </c>
      <c r="H129" s="15">
        <v>1</v>
      </c>
      <c r="I129" s="142" t="s">
        <v>176</v>
      </c>
      <c r="J129" s="16" t="s">
        <v>41</v>
      </c>
      <c r="K129" s="17">
        <v>96.3</v>
      </c>
      <c r="L129" s="18">
        <v>1</v>
      </c>
      <c r="M129" s="18"/>
      <c r="N129" s="19"/>
      <c r="O129" s="13">
        <v>96.3</v>
      </c>
      <c r="P129" s="10">
        <f>14+14</f>
        <v>28</v>
      </c>
      <c r="Q129" s="10"/>
      <c r="R129" s="10"/>
      <c r="S129" s="10"/>
      <c r="T129" s="10"/>
      <c r="U129" s="10"/>
      <c r="V129" s="10"/>
      <c r="W129" s="11">
        <v>0.9</v>
      </c>
      <c r="X129" s="9"/>
      <c r="Y129" s="11"/>
      <c r="Z129" s="8">
        <f>IF(SUM(O129:W129)=0,IF(DONNEES[[#This Row],[ACPTE RECU]]-DONNEES[[#This Row],[ACPTE RENDU]]=0,"",DONNEES[[#This Row],[ACPTE RECU]]-DONNEES[[#This Row],[ACPTE RENDU]]),SUM(O129:W129)+DONNEES[[#This Row],[ACPTE RECU]]-DONNEES[[#This Row],[ACPTE RENDU]])</f>
        <v>125.2</v>
      </c>
      <c r="AA129" s="14">
        <v>44917</v>
      </c>
      <c r="AB129" s="55">
        <f>111.2+14</f>
        <v>125.2</v>
      </c>
      <c r="AC129" s="10"/>
      <c r="AD129" s="10"/>
      <c r="AE129" s="10"/>
      <c r="AF129" s="10"/>
      <c r="AG129" s="10"/>
      <c r="AH129" s="10"/>
      <c r="AI129" s="10"/>
      <c r="AJ129" s="11"/>
      <c r="AK129" s="56">
        <f t="shared" si="8"/>
        <v>125.2</v>
      </c>
      <c r="AL129" s="13"/>
      <c r="AM129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29" s="123">
        <f>IF(DONNEES[[#This Row],[DATE
PAIEMT]]="",0,DONNEES[[#This Row],[DATE
PAIEMT]])</f>
        <v>44917</v>
      </c>
    </row>
    <row r="130" spans="1:40" x14ac:dyDescent="0.25">
      <c r="A130" s="136">
        <f>DONNEES[[#This Row],[AM]]</f>
        <v>44917</v>
      </c>
      <c r="B130" s="134">
        <f>WEEKDAY(DONNEES[[#This Row],[JOUR]],2)</f>
        <v>4</v>
      </c>
      <c r="C130" s="138">
        <f>_xlfn.ISOWEEKNUM(DONNEES[[#This Row],[AM]]-1)</f>
        <v>51</v>
      </c>
      <c r="D130" s="131">
        <v>44917</v>
      </c>
      <c r="E130" s="132">
        <f>DONNEES[[#This Row],[AM]]+1</f>
        <v>44918</v>
      </c>
      <c r="F130" s="16" t="s">
        <v>39</v>
      </c>
      <c r="G130" s="124">
        <v>15</v>
      </c>
      <c r="H130" s="15">
        <v>2</v>
      </c>
      <c r="I130" s="142" t="s">
        <v>190</v>
      </c>
      <c r="J130" s="16" t="s">
        <v>22</v>
      </c>
      <c r="K130" s="17">
        <v>135</v>
      </c>
      <c r="L130" s="18"/>
      <c r="M130" s="18">
        <v>2</v>
      </c>
      <c r="N130" s="19"/>
      <c r="O130" s="13">
        <v>135.9</v>
      </c>
      <c r="P130" s="10"/>
      <c r="Q130" s="10"/>
      <c r="R130" s="10"/>
      <c r="S130" s="10"/>
      <c r="T130" s="10">
        <v>30</v>
      </c>
      <c r="U130" s="10"/>
      <c r="V130" s="10"/>
      <c r="W130" s="11">
        <v>0.9</v>
      </c>
      <c r="X130" s="9"/>
      <c r="Y130" s="11"/>
      <c r="Z130" s="8">
        <f>IF(SUM(O130:W130)=0,IF(DONNEES[[#This Row],[ACPTE RECU]]-DONNEES[[#This Row],[ACPTE RENDU]]=0,"",DONNEES[[#This Row],[ACPTE RECU]]-DONNEES[[#This Row],[ACPTE RENDU]]),SUM(O130:W130)+DONNEES[[#This Row],[ACPTE RECU]]-DONNEES[[#This Row],[ACPTE RENDU]])</f>
        <v>166.8</v>
      </c>
      <c r="AA130" s="14">
        <f>IF(DONNEES[[#This Row],[DEP
REC]]="D",DONNEES[[#This Row],[DEPART]],"")</f>
        <v>44918</v>
      </c>
      <c r="AB130" s="55">
        <v>166.8</v>
      </c>
      <c r="AC130" s="10"/>
      <c r="AD130" s="10"/>
      <c r="AE130" s="10"/>
      <c r="AF130" s="10"/>
      <c r="AG130" s="10"/>
      <c r="AH130" s="10"/>
      <c r="AI130" s="10"/>
      <c r="AJ130" s="11"/>
      <c r="AK130" s="56">
        <f t="shared" si="8"/>
        <v>166.8</v>
      </c>
      <c r="AL130" s="13"/>
      <c r="AM130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30" s="123">
        <f>IF(DONNEES[[#This Row],[DATE
PAIEMT]]="",0,DONNEES[[#This Row],[DATE
PAIEMT]])</f>
        <v>44918</v>
      </c>
    </row>
    <row r="131" spans="1:40" x14ac:dyDescent="0.25">
      <c r="A131" s="136">
        <f>DONNEES[[#This Row],[AM]]</f>
        <v>44917</v>
      </c>
      <c r="B131" s="134">
        <f>WEEKDAY(DONNEES[[#This Row],[JOUR]],2)</f>
        <v>4</v>
      </c>
      <c r="C131" s="138">
        <f>_xlfn.ISOWEEKNUM(DONNEES[[#This Row],[AM]]-1)</f>
        <v>51</v>
      </c>
      <c r="D131" s="131">
        <v>44917</v>
      </c>
      <c r="E131" s="132">
        <f>DONNEES[[#This Row],[AM]]+1</f>
        <v>44918</v>
      </c>
      <c r="F131" s="16" t="s">
        <v>39</v>
      </c>
      <c r="G131" s="124">
        <v>16</v>
      </c>
      <c r="H131" s="15">
        <v>1</v>
      </c>
      <c r="I131" s="142" t="s">
        <v>191</v>
      </c>
      <c r="J131" s="16" t="s">
        <v>41</v>
      </c>
      <c r="K131" s="17">
        <v>107</v>
      </c>
      <c r="L131" s="18">
        <v>1</v>
      </c>
      <c r="M131" s="18"/>
      <c r="N131" s="19"/>
      <c r="O131" s="13">
        <v>107.1</v>
      </c>
      <c r="P131" s="10"/>
      <c r="Q131" s="10"/>
      <c r="R131" s="10"/>
      <c r="S131" s="10"/>
      <c r="T131" s="10"/>
      <c r="U131" s="10"/>
      <c r="V131" s="10"/>
      <c r="W131" s="11">
        <v>0.9</v>
      </c>
      <c r="X131" s="9"/>
      <c r="Y131" s="11"/>
      <c r="Z131" s="8">
        <f>IF(SUM(O131:W131)=0,IF(DONNEES[[#This Row],[ACPTE RECU]]-DONNEES[[#This Row],[ACPTE RENDU]]=0,"",DONNEES[[#This Row],[ACPTE RECU]]-DONNEES[[#This Row],[ACPTE RENDU]]),SUM(O131:W131)+DONNEES[[#This Row],[ACPTE RECU]]-DONNEES[[#This Row],[ACPTE RENDU]])</f>
        <v>108</v>
      </c>
      <c r="AA131" s="14">
        <f>IF(DONNEES[[#This Row],[DEP
REC]]="D",DONNEES[[#This Row],[DEPART]],"")</f>
        <v>44918</v>
      </c>
      <c r="AB131" s="55"/>
      <c r="AC131" s="10"/>
      <c r="AD131" s="10"/>
      <c r="AE131" s="10">
        <f>107+1</f>
        <v>108</v>
      </c>
      <c r="AF131" s="10"/>
      <c r="AG131" s="10"/>
      <c r="AH131" s="10"/>
      <c r="AI131" s="10"/>
      <c r="AJ131" s="11"/>
      <c r="AK131" s="56">
        <f t="shared" si="8"/>
        <v>108</v>
      </c>
      <c r="AL131" s="13"/>
      <c r="AM131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31" s="123">
        <f>IF(DONNEES[[#This Row],[DATE
PAIEMT]]="",0,DONNEES[[#This Row],[DATE
PAIEMT]])</f>
        <v>44918</v>
      </c>
    </row>
    <row r="132" spans="1:40" ht="14.4" thickBot="1" x14ac:dyDescent="0.3">
      <c r="A132" s="136">
        <f>DONNEES[[#This Row],[AM]]</f>
        <v>44917</v>
      </c>
      <c r="B132" s="134">
        <f>WEEKDAY(DONNEES[[#This Row],[JOUR]],2)</f>
        <v>4</v>
      </c>
      <c r="C132" s="138">
        <f>_xlfn.ISOWEEKNUM(DONNEES[[#This Row],[AM]]-1)</f>
        <v>51</v>
      </c>
      <c r="D132" s="131">
        <v>44917</v>
      </c>
      <c r="E132" s="132">
        <f>DONNEES[[#This Row],[AM]]+1</f>
        <v>44918</v>
      </c>
      <c r="F132" s="16" t="s">
        <v>39</v>
      </c>
      <c r="G132" s="124">
        <v>24</v>
      </c>
      <c r="H132" s="15">
        <v>2</v>
      </c>
      <c r="I132" s="142" t="s">
        <v>192</v>
      </c>
      <c r="J132" s="16" t="s">
        <v>41</v>
      </c>
      <c r="K132" s="17">
        <v>122.4</v>
      </c>
      <c r="L132" s="18">
        <v>2</v>
      </c>
      <c r="M132" s="18">
        <v>1</v>
      </c>
      <c r="N132" s="19"/>
      <c r="O132" s="13">
        <v>123.3</v>
      </c>
      <c r="P132" s="10">
        <v>24</v>
      </c>
      <c r="Q132" s="10"/>
      <c r="R132" s="10"/>
      <c r="S132" s="10"/>
      <c r="T132" s="10">
        <v>15</v>
      </c>
      <c r="U132" s="10"/>
      <c r="V132" s="10"/>
      <c r="W132" s="11">
        <v>0.9</v>
      </c>
      <c r="X132" s="9"/>
      <c r="Y132" s="11"/>
      <c r="Z132" s="8">
        <f>IF(SUM(O132:W132)=0,IF(DONNEES[[#This Row],[ACPTE RECU]]-DONNEES[[#This Row],[ACPTE RENDU]]=0,"",DONNEES[[#This Row],[ACPTE RECU]]-DONNEES[[#This Row],[ACPTE RENDU]]),SUM(O132:W132)+DONNEES[[#This Row],[ACPTE RECU]]-DONNEES[[#This Row],[ACPTE RENDU]])</f>
        <v>163.20000000000002</v>
      </c>
      <c r="AA132" s="14">
        <v>44917</v>
      </c>
      <c r="AB132" s="55">
        <v>163.19999999999999</v>
      </c>
      <c r="AC132" s="10"/>
      <c r="AD132" s="10"/>
      <c r="AE132" s="10"/>
      <c r="AF132" s="10"/>
      <c r="AG132" s="10"/>
      <c r="AH132" s="10"/>
      <c r="AI132" s="10"/>
      <c r="AJ132" s="11"/>
      <c r="AK132" s="56">
        <f t="shared" si="8"/>
        <v>163.19999999999999</v>
      </c>
      <c r="AL132" s="13"/>
      <c r="AM132" s="12" t="str">
        <f>IF(DONNEES[[#This Row],[TOTAL TTC FACTURE]]=DONNEES[[#This Row],[TOTAL TTC ENCAISSE]],"",IF(DONNEES[[#This Row],[TOTAL TTC FACTURE]]="",0,DONNEES[[#This Row],[TOTAL TTC FACTURE]])-IF(DONNEES[[#This Row],[TOTAL TTC ENCAISSE]]="",0,DONNEES[[#This Row],[TOTAL TTC ENCAISSE]]))</f>
        <v/>
      </c>
      <c r="AN132" s="123">
        <f>IF(DONNEES[[#This Row],[DATE
PAIEMT]]="",0,DONNEES[[#This Row],[DATE
PAIEMT]])</f>
        <v>44917</v>
      </c>
    </row>
    <row r="133" spans="1:40" ht="15" thickTop="1" thickBot="1" x14ac:dyDescent="0.3">
      <c r="A133" s="163"/>
      <c r="B133" s="164"/>
      <c r="C133" s="165"/>
      <c r="D133" s="166"/>
      <c r="E133" s="167"/>
      <c r="F133" s="38"/>
      <c r="G133" s="141"/>
      <c r="H133" s="39">
        <f>SUBTOTAL(109,DONNEES[PERS])</f>
        <v>219</v>
      </c>
      <c r="I133" s="168"/>
      <c r="J133" s="38">
        <f>SUBTOTAL(103,DONNEES[RESA])</f>
        <v>128</v>
      </c>
      <c r="K133" s="57">
        <f>SUBTOTAL(101,DONNEES[CH])</f>
        <v>168.18425196850393</v>
      </c>
      <c r="L133" s="119">
        <f>SUBTOTAL(103,DONNEES[NB PDJ])</f>
        <v>70</v>
      </c>
      <c r="M133" s="119">
        <f>SUBTOTAL(103,DONNEES[PARK])</f>
        <v>26</v>
      </c>
      <c r="N133" s="120">
        <f>SUBTOTAL(109,DONNEES[EXTRA])</f>
        <v>139</v>
      </c>
      <c r="O133" s="40">
        <f>SUBTOTAL(109,DONNEES[CHAMB.])</f>
        <v>19966.900000000009</v>
      </c>
      <c r="P133" s="41">
        <f>SUBTOTAL(109,DONNEES[PDJ])</f>
        <v>1240</v>
      </c>
      <c r="Q133" s="41">
        <f>SUBTOTAL(109,DONNEES[BOISS])</f>
        <v>53</v>
      </c>
      <c r="R133" s="41">
        <f>SUBTOTAL(109,DONNEES[ALC])</f>
        <v>64</v>
      </c>
      <c r="S133" s="41">
        <f>SUBTOTAL(109,DONNEES[RESTO])</f>
        <v>0</v>
      </c>
      <c r="T133" s="41">
        <f>SUBTOTAL(109,DONNEES[PKG])</f>
        <v>353</v>
      </c>
      <c r="U133" s="41">
        <f>SUBTOTAL(109,DONNEES[PRESG])</f>
        <v>0</v>
      </c>
      <c r="V133" s="41">
        <f>SUBTOTAL(109,DONNEES[DIV])</f>
        <v>0</v>
      </c>
      <c r="W133" s="42">
        <f>SUBTOTAL(109,DONNEES[TS])</f>
        <v>108.90000000000012</v>
      </c>
      <c r="X133" s="43"/>
      <c r="Y133" s="42"/>
      <c r="Z133" s="170">
        <f>SUBTOTAL(109,DONNEES[TOTAL TTC FACTURE])</f>
        <v>21785.799999999988</v>
      </c>
      <c r="AA133" s="118"/>
      <c r="AB133" s="58">
        <f>SUBTOTAL(109,DONNEES[CB
EMV])</f>
        <v>15811.399999999998</v>
      </c>
      <c r="AC133" s="41">
        <f>SUBTOTAL(109,DONNEES[AMEX])</f>
        <v>1566.3000000000002</v>
      </c>
      <c r="AD133" s="41">
        <f>SUBTOTAL(109,DONNEES[CB
VAD])</f>
        <v>942.09999999999991</v>
      </c>
      <c r="AE133" s="41">
        <f>SUBTOTAL(109,DONNEES[PLBS])</f>
        <v>1831.2</v>
      </c>
      <c r="AF133" s="41">
        <f>SUBTOTAL(109,DONNEES[CB
SS CTC])</f>
        <v>299.60000000000002</v>
      </c>
      <c r="AG133" s="41">
        <f>SUBTOTAL(109,DONNEES[CHQ VAC.])</f>
        <v>740</v>
      </c>
      <c r="AH133" s="41">
        <f>SUBTOTAL(109,DONNEES[ESPECES])</f>
        <v>306.2</v>
      </c>
      <c r="AI133" s="41">
        <f>SUBTOTAL(109,DONNEES[CHQ BANCAIRE])</f>
        <v>0</v>
      </c>
      <c r="AJ133" s="42">
        <f>SUBTOTAL(109,DONNEES[VIRMT])</f>
        <v>0</v>
      </c>
      <c r="AK133" s="171">
        <f>SUBTOTAL(109,DONNEES[TOTAL TTC ENCAISSE])</f>
        <v>21496.799999999988</v>
      </c>
      <c r="AL133" s="40">
        <f>SUBTOTAL(109,DONNEES[DIFFERE
RECU])</f>
        <v>0</v>
      </c>
      <c r="AM133" s="44">
        <f>SUBTOTAL(109,DONNEES[DIFFERE
ATTENTE])</f>
        <v>289</v>
      </c>
      <c r="AN133" s="169"/>
    </row>
    <row r="134" spans="1:40" ht="14.4" thickTop="1" x14ac:dyDescent="0.25">
      <c r="A134" s="6">
        <v>2</v>
      </c>
      <c r="G134" s="6" t="s">
        <v>7</v>
      </c>
      <c r="I134" s="7"/>
      <c r="J134" s="27"/>
      <c r="K134" s="27"/>
      <c r="L134" s="27"/>
      <c r="M134" s="34">
        <v>0.1</v>
      </c>
      <c r="N134" s="34">
        <v>0.1</v>
      </c>
      <c r="O134" s="34">
        <v>0.1</v>
      </c>
      <c r="P134" s="34">
        <v>0.2</v>
      </c>
      <c r="Q134" s="34">
        <v>0.1</v>
      </c>
      <c r="R134" s="34">
        <v>0.2</v>
      </c>
      <c r="S134" s="34">
        <v>0.2</v>
      </c>
      <c r="T134" s="34">
        <v>0.2</v>
      </c>
      <c r="U134" s="20"/>
      <c r="X134" s="35"/>
      <c r="Y134" s="14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174">
        <f>DONNEES[[#Totals],[DIFFERE
ATTENTE]]-DONNEES[[#Totals],[DIFFERE
RECU]]</f>
        <v>289</v>
      </c>
      <c r="AK134" s="174"/>
      <c r="AL134" s="33"/>
    </row>
    <row r="135" spans="1:40" x14ac:dyDescent="0.25">
      <c r="A135" s="6">
        <v>3</v>
      </c>
      <c r="F135" s="6">
        <f>DONNEES[[#Totals],[PERS]]*0.9</f>
        <v>197.1</v>
      </c>
      <c r="G135" s="22" t="s">
        <v>0</v>
      </c>
      <c r="I135" s="7"/>
      <c r="J135" s="27"/>
      <c r="K135" s="27"/>
      <c r="L135" s="27"/>
      <c r="M135" s="20">
        <f>ROUND(M136*M134,2)</f>
        <v>1815.17</v>
      </c>
      <c r="N135" s="20">
        <f t="shared" ref="N135:T135" si="9">ROUND(N136*N134,2)</f>
        <v>112.73</v>
      </c>
      <c r="O135" s="20">
        <f t="shared" si="9"/>
        <v>4.82</v>
      </c>
      <c r="P135" s="20">
        <f t="shared" si="9"/>
        <v>10.67</v>
      </c>
      <c r="Q135" s="20">
        <f t="shared" si="9"/>
        <v>0</v>
      </c>
      <c r="R135" s="20">
        <f t="shared" si="9"/>
        <v>58.83</v>
      </c>
      <c r="S135" s="20">
        <f t="shared" si="9"/>
        <v>0</v>
      </c>
      <c r="T135" s="20">
        <f t="shared" si="9"/>
        <v>0</v>
      </c>
      <c r="U135" s="20"/>
      <c r="W135" s="22" t="s">
        <v>0</v>
      </c>
      <c r="X135" s="28">
        <f>SUM(M135:T135)</f>
        <v>2002.22</v>
      </c>
      <c r="Y135" s="14"/>
      <c r="Z135" s="37">
        <v>2652.9</v>
      </c>
      <c r="AA135" s="81">
        <v>44550</v>
      </c>
      <c r="AD135" s="5"/>
      <c r="AI135" s="20"/>
      <c r="AJ135" s="5"/>
      <c r="AK135" s="20"/>
    </row>
    <row r="136" spans="1:40" x14ac:dyDescent="0.25">
      <c r="A136" s="6">
        <v>4</v>
      </c>
      <c r="F136" s="27">
        <f>F135-DONNEES[[#Totals],[TS]]</f>
        <v>88.199999999999875</v>
      </c>
      <c r="G136" s="30" t="s">
        <v>5</v>
      </c>
      <c r="I136" s="7"/>
      <c r="J136" s="27"/>
      <c r="K136" s="27"/>
      <c r="L136" s="27"/>
      <c r="M136" s="31">
        <f>ROUND(DONNEES[[#Totals],[CHAMB.]]/1.1,2)</f>
        <v>18151.73</v>
      </c>
      <c r="N136" s="31">
        <f>ROUND(DONNEES[[#Totals],[PDJ]]/1.1,2)</f>
        <v>1127.27</v>
      </c>
      <c r="O136" s="31">
        <f>ROUND(DONNEES[[#Totals],[BOISS]]/1.1,2)</f>
        <v>48.18</v>
      </c>
      <c r="P136" s="31">
        <f>ROUND(DONNEES[[#Totals],[ALC]]/1.2,2)</f>
        <v>53.33</v>
      </c>
      <c r="Q136" s="31">
        <f>ROUND(DONNEES[[#Totals],[RESTO]]/1.1,2)</f>
        <v>0</v>
      </c>
      <c r="R136" s="31">
        <f>ROUND(DONNEES[[#Totals],[PKG]]/1.2,2)</f>
        <v>294.17</v>
      </c>
      <c r="S136" s="31">
        <f>ROUND(DONNEES[[#Totals],[PRESG]]/1.2,2)</f>
        <v>0</v>
      </c>
      <c r="T136" s="31">
        <f>ROUND(DONNEES[[#Totals],[DIV]]/1.2,2)</f>
        <v>0</v>
      </c>
      <c r="U136" s="20"/>
      <c r="W136" s="30" t="s">
        <v>5</v>
      </c>
      <c r="X136" s="29">
        <f>SUM(M136:T136)</f>
        <v>19674.68</v>
      </c>
      <c r="Y136" s="14"/>
      <c r="Z136" s="5"/>
      <c r="AA136" s="5"/>
      <c r="AD136" s="5"/>
      <c r="AF136" s="20"/>
      <c r="AI136" s="20"/>
      <c r="AJ136" t="s">
        <v>101</v>
      </c>
      <c r="AK136" s="20">
        <v>122.8</v>
      </c>
    </row>
    <row r="137" spans="1:40" x14ac:dyDescent="0.25">
      <c r="A137" s="6">
        <v>5</v>
      </c>
      <c r="I137" s="7">
        <f>DONNEES[[#Totals],[CH]]</f>
        <v>168.18425196850393</v>
      </c>
      <c r="J137" s="7">
        <f>DONNEES[[#Totals],[NB PDJ]]*11</f>
        <v>770</v>
      </c>
      <c r="K137" s="7">
        <f>DONNEES[[#Totals],[PARK]]*13</f>
        <v>338</v>
      </c>
      <c r="L137" s="7">
        <f>DONNEES[[#Totals],[EXTRA]]</f>
        <v>139</v>
      </c>
      <c r="M137" s="6" t="str">
        <f>IF(M136+M135=DONNEES[[#Totals],[CHAMB.]],"OK","ERREUR")</f>
        <v>OK</v>
      </c>
      <c r="N137" s="6" t="str">
        <f>IF(N136+N135=DONNEES[[#Totals],[PDJ]],"OK","ERREUR")</f>
        <v>OK</v>
      </c>
      <c r="O137" s="6" t="str">
        <f>IF(O136+O135=DONNEES[[#Totals],[BOISS]],"OK","ERREUR")</f>
        <v>OK</v>
      </c>
      <c r="P137" s="6" t="str">
        <f>IF(P136+P135=DONNEES[[#Totals],[ALC]],"OK","ERREUR")</f>
        <v>OK</v>
      </c>
      <c r="Q137" s="6" t="str">
        <f>IF(Q136+Q135=DONNEES[[#Totals],[RESTO]],"OK","ERREUR")</f>
        <v>OK</v>
      </c>
      <c r="R137" s="6" t="str">
        <f>IF(R136+R135=DONNEES[[#Totals],[PKG]],"OK","ERREUR")</f>
        <v>OK</v>
      </c>
      <c r="S137" s="6" t="str">
        <f>IF(S136+S135=DONNEES[[#Totals],[PRESG]],"OK","ERREUR")</f>
        <v>OK</v>
      </c>
      <c r="T137" s="6" t="str">
        <f>IF(T136+T135=DONNEES[[#Totals],[DIV]],"OK","ERREUR")</f>
        <v>OK</v>
      </c>
      <c r="AK137" s="20"/>
      <c r="AL137" s="92"/>
    </row>
    <row r="138" spans="1:40" ht="14.4" thickBot="1" x14ac:dyDescent="0.3">
      <c r="A138" s="6">
        <v>6</v>
      </c>
      <c r="C138" s="25"/>
      <c r="G138" s="80"/>
      <c r="H138" s="6">
        <v>334</v>
      </c>
      <c r="I138" s="174">
        <f>SUM(I137:L137)</f>
        <v>1415.184251968504</v>
      </c>
      <c r="J138" s="174"/>
      <c r="K138" s="174"/>
      <c r="L138" s="174"/>
      <c r="V138" s="22" t="s">
        <v>50</v>
      </c>
      <c r="W138" s="21">
        <f>31-3</f>
        <v>28</v>
      </c>
      <c r="AK138" s="20"/>
    </row>
    <row r="139" spans="1:40" ht="14.4" thickTop="1" x14ac:dyDescent="0.25">
      <c r="A139" s="6">
        <v>7</v>
      </c>
      <c r="G139" s="80"/>
      <c r="H139" s="6">
        <f>31*16</f>
        <v>496</v>
      </c>
      <c r="I139" s="7"/>
      <c r="J139" s="7"/>
      <c r="V139" s="22" t="s">
        <v>51</v>
      </c>
      <c r="W139" s="21">
        <v>23</v>
      </c>
      <c r="X139" s="23">
        <f>DONNEES[[#Totals],[TOTAL TTC FACTURE]]*W138/W139</f>
        <v>26521.843478260857</v>
      </c>
      <c r="Y139" s="24" t="s">
        <v>4</v>
      </c>
      <c r="AJ139" t="s">
        <v>102</v>
      </c>
      <c r="AK139" s="20">
        <v>-30</v>
      </c>
      <c r="AL139" s="92"/>
    </row>
    <row r="140" spans="1:40" ht="14.4" thickBot="1" x14ac:dyDescent="0.3">
      <c r="A140" s="6">
        <v>8</v>
      </c>
      <c r="G140" s="80"/>
      <c r="H140" s="64">
        <f>H138/H139</f>
        <v>0.67338709677419351</v>
      </c>
      <c r="M140" s="7"/>
      <c r="O140" s="20"/>
      <c r="W140" s="59" t="s">
        <v>49</v>
      </c>
      <c r="X140" s="36">
        <f>(((DONNEES[[#Totals],[CHAMB.]]+DONNEES[[#Totals],[PDJ]]+DONNEES[[#Totals],[BOISS]]+DONNEES[[#Totals],[RESTO]])/1.1)+((DONNEES[[#Totals],[ALC]]+DONNEES[[#Totals],[PKG]]+DONNEES[[#Totals],[PRESG]]+DONNEES[[#Totals],[DIV]])/1.2))*W138/W139</f>
        <v>23951.786561264827</v>
      </c>
      <c r="Y140" s="24" t="s">
        <v>5</v>
      </c>
      <c r="AB140" s="5">
        <f>2513.5-3262.9</f>
        <v>-749.40000000000009</v>
      </c>
      <c r="AF140" s="37"/>
      <c r="AG140" s="37"/>
      <c r="AK140" s="20"/>
      <c r="AL140" s="92"/>
    </row>
    <row r="141" spans="1:40" ht="14.4" thickTop="1" x14ac:dyDescent="0.25">
      <c r="A141" s="6">
        <v>9</v>
      </c>
      <c r="C141" s="22" t="s">
        <v>47</v>
      </c>
      <c r="D141" s="6">
        <f>COUNTIF(DONNEES[DEP
REC],"D")</f>
        <v>82</v>
      </c>
      <c r="E141" s="25">
        <f>D141/(D141+D142)</f>
        <v>0.64566929133858264</v>
      </c>
      <c r="G141" s="22" t="s">
        <v>22</v>
      </c>
      <c r="H141" s="6">
        <f>COUNTIF(DONNEES[RESA],"LCC")</f>
        <v>68</v>
      </c>
      <c r="I141" s="25">
        <f>H141/(H141+H142)</f>
        <v>0.53125</v>
      </c>
      <c r="X141" s="172">
        <f>+X140/W138</f>
        <v>855.42094861660098</v>
      </c>
      <c r="Y141" s="173" t="s">
        <v>103</v>
      </c>
      <c r="AF141" s="37"/>
      <c r="AG141" s="37"/>
      <c r="AH141" s="37"/>
      <c r="AK141" s="79">
        <f>SUM(AK136:AK140)</f>
        <v>92.8</v>
      </c>
    </row>
    <row r="142" spans="1:40" x14ac:dyDescent="0.25">
      <c r="A142" s="6">
        <v>10</v>
      </c>
      <c r="C142" s="22" t="s">
        <v>48</v>
      </c>
      <c r="D142" s="6">
        <f>COUNTIF(DONNEES[DEP
REC],"R")</f>
        <v>45</v>
      </c>
      <c r="E142" s="25">
        <f>D142/(D141+D142)</f>
        <v>0.3543307086614173</v>
      </c>
      <c r="G142" s="22" t="s">
        <v>41</v>
      </c>
      <c r="H142" s="6">
        <f>COUNTIF(DONNEES[RESA],"BK")</f>
        <v>60</v>
      </c>
      <c r="I142" s="25">
        <f>H142/(H141+H142)</f>
        <v>0.46875</v>
      </c>
      <c r="AD142" s="143"/>
      <c r="AJ142" s="5"/>
      <c r="AL142" s="5"/>
    </row>
    <row r="143" spans="1:40" x14ac:dyDescent="0.25">
      <c r="A143" s="6">
        <v>11</v>
      </c>
      <c r="D143" s="26">
        <f>SUM(D141:D142)</f>
        <v>127</v>
      </c>
      <c r="H143" s="26">
        <f>SUM(H141:H142)</f>
        <v>128</v>
      </c>
      <c r="N143" s="22" t="s">
        <v>95</v>
      </c>
      <c r="O143" s="82">
        <v>30</v>
      </c>
      <c r="X143" s="5">
        <v>49443</v>
      </c>
      <c r="AJ143" s="5"/>
    </row>
    <row r="144" spans="1:40" x14ac:dyDescent="0.25">
      <c r="A144" s="6">
        <v>12</v>
      </c>
      <c r="J144" s="63"/>
      <c r="K144" s="20"/>
      <c r="N144" s="22" t="s">
        <v>98</v>
      </c>
      <c r="O144" s="22">
        <v>14</v>
      </c>
      <c r="AJ144" s="5"/>
    </row>
    <row r="145" spans="1:38" x14ac:dyDescent="0.25">
      <c r="A145" s="6">
        <v>13</v>
      </c>
      <c r="J145" s="62"/>
      <c r="K145" s="20"/>
      <c r="N145" s="22" t="s">
        <v>96</v>
      </c>
      <c r="O145" s="30">
        <f>O143*O144</f>
        <v>420</v>
      </c>
      <c r="AJ145" s="22"/>
      <c r="AL145" s="92"/>
    </row>
    <row r="146" spans="1:38" x14ac:dyDescent="0.25">
      <c r="A146" s="6">
        <v>14</v>
      </c>
      <c r="J146" s="62"/>
      <c r="K146" s="20"/>
      <c r="N146" s="22" t="s">
        <v>94</v>
      </c>
      <c r="O146" s="85">
        <f>+DONNEES[[#Totals],[RESA]]</f>
        <v>128</v>
      </c>
      <c r="R146" s="5">
        <v>279</v>
      </c>
      <c r="S146" s="5">
        <f>R146/(16*30)</f>
        <v>0.58125000000000004</v>
      </c>
      <c r="T146" s="5">
        <f>R146/(14*30)</f>
        <v>0.66428571428571426</v>
      </c>
      <c r="AA146">
        <f>545.4-381</f>
        <v>164.39999999999998</v>
      </c>
    </row>
    <row r="147" spans="1:38" x14ac:dyDescent="0.25">
      <c r="A147" s="6">
        <v>15</v>
      </c>
      <c r="J147" s="62"/>
      <c r="K147" s="20"/>
      <c r="N147" s="30" t="s">
        <v>93</v>
      </c>
      <c r="O147" s="83">
        <f>O146/O145</f>
        <v>0.30476190476190479</v>
      </c>
      <c r="P147" s="86">
        <f>DONNEES[[#Totals],[RESA]]/(W139*16)</f>
        <v>0.34782608695652173</v>
      </c>
      <c r="R147" s="5">
        <v>175.98</v>
      </c>
    </row>
    <row r="148" spans="1:38" x14ac:dyDescent="0.25">
      <c r="A148" s="6">
        <v>16</v>
      </c>
      <c r="J148" s="62">
        <v>265</v>
      </c>
      <c r="K148" s="20"/>
      <c r="N148" s="30" t="s">
        <v>97</v>
      </c>
      <c r="O148" s="84">
        <f>DONNEES[[#Totals],[CH]]</f>
        <v>168.18425196850393</v>
      </c>
    </row>
    <row r="149" spans="1:38" x14ac:dyDescent="0.25">
      <c r="J149" s="62">
        <f>30*16</f>
        <v>480</v>
      </c>
      <c r="K149" s="20"/>
      <c r="N149" s="22" t="s">
        <v>104</v>
      </c>
      <c r="O149" s="90">
        <f>O146*O148/1.1</f>
        <v>19570.531138153183</v>
      </c>
    </row>
    <row r="150" spans="1:38" x14ac:dyDescent="0.25">
      <c r="J150" s="144">
        <f>J148/J149</f>
        <v>0.55208333333333337</v>
      </c>
      <c r="K150" s="20"/>
      <c r="N150" s="22" t="s">
        <v>105</v>
      </c>
      <c r="O150" s="91">
        <f>DONNEES[[#Totals],[NB PDJ]]*12/1.1</f>
        <v>763.63636363636363</v>
      </c>
      <c r="AA150">
        <f>1120.8-381</f>
        <v>739.8</v>
      </c>
    </row>
    <row r="151" spans="1:38" x14ac:dyDescent="0.25">
      <c r="J151" s="62"/>
      <c r="K151" s="20"/>
      <c r="N151" s="22" t="s">
        <v>106</v>
      </c>
      <c r="O151" s="91">
        <f>DONNEES[[#Totals],[PARK]]*15/1.2</f>
        <v>325</v>
      </c>
    </row>
    <row r="152" spans="1:38" x14ac:dyDescent="0.25">
      <c r="J152" s="62"/>
      <c r="K152" s="20"/>
      <c r="N152" s="22" t="s">
        <v>107</v>
      </c>
      <c r="O152" s="90">
        <f>DONNEES[[#Totals],[EXTRA]]/1.12</f>
        <v>124.10714285714285</v>
      </c>
    </row>
    <row r="153" spans="1:38" x14ac:dyDescent="0.25">
      <c r="J153" s="62"/>
      <c r="K153" s="20"/>
      <c r="N153" s="30" t="s">
        <v>108</v>
      </c>
      <c r="O153" s="91">
        <f>SUM(O149:O152)</f>
        <v>20783.274644646688</v>
      </c>
    </row>
    <row r="154" spans="1:38" x14ac:dyDescent="0.25">
      <c r="J154" s="62"/>
      <c r="K154" s="20"/>
    </row>
    <row r="155" spans="1:38" x14ac:dyDescent="0.25">
      <c r="J155" s="62"/>
      <c r="K155" s="20"/>
    </row>
    <row r="156" spans="1:38" x14ac:dyDescent="0.25">
      <c r="J156" s="62"/>
      <c r="K156" s="20"/>
    </row>
    <row r="157" spans="1:38" x14ac:dyDescent="0.25">
      <c r="J157" s="62"/>
      <c r="K157" s="20"/>
    </row>
    <row r="158" spans="1:38" x14ac:dyDescent="0.25">
      <c r="J158" s="62"/>
      <c r="K158" s="20"/>
    </row>
    <row r="159" spans="1:38" x14ac:dyDescent="0.25">
      <c r="J159" s="62"/>
      <c r="K159" s="20"/>
    </row>
    <row r="160" spans="1:38" x14ac:dyDescent="0.25">
      <c r="J160" s="62"/>
    </row>
    <row r="161" spans="10:10" x14ac:dyDescent="0.25">
      <c r="J161" s="62"/>
    </row>
  </sheetData>
  <dataConsolidate function="average">
    <dataRefs count="2">
      <dataRef ref="E3:E649" sheet="SAISIE"/>
      <dataRef ref="I3:I649" sheet="SAISIE"/>
    </dataRefs>
  </dataConsolidate>
  <mergeCells count="2">
    <mergeCell ref="I138:L138"/>
    <mergeCell ref="AJ134:AK134"/>
  </mergeCells>
  <conditionalFormatting sqref="AN4:AN133">
    <cfRule type="cellIs" dxfId="1290" priority="5" operator="equal">
      <formula>0</formula>
    </cfRule>
  </conditionalFormatting>
  <printOptions horizontalCentered="1"/>
  <pageMargins left="0.19685039370078741" right="0.19685039370078741" top="0.59055118110236227" bottom="0.39370078740157483" header="0" footer="0"/>
  <pageSetup paperSize="9" scale="29" fitToHeight="3" orientation="portrait" r:id="rId1"/>
  <headerFooter>
    <oddHeader>&amp;L&amp;"Arial,Gras"&amp;12HOTEL LA COUR CARREE
ENCAISSEMENTS : NOVEMBRE 2022</oddHeader>
    <oddFooter>&amp;R&amp;"Arial,Normal"&amp;8&amp;P/&amp;N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0B222-45F7-40E4-86FA-75DC2B5BA639}">
  <sheetPr codeName="Feuil36">
    <pageSetUpPr fitToPage="1"/>
  </sheetPr>
  <dimension ref="A1:P2876"/>
  <sheetViews>
    <sheetView tabSelected="1" zoomScale="85" zoomScaleNormal="85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A9" sqref="A9"/>
    </sheetView>
  </sheetViews>
  <sheetFormatPr baseColWidth="10" defaultColWidth="10.88671875" defaultRowHeight="13.2" x14ac:dyDescent="0.25"/>
  <cols>
    <col min="1" max="1" width="17.21875" style="3" bestFit="1" customWidth="1"/>
    <col min="2" max="15" width="10.33203125" style="3" customWidth="1"/>
    <col min="16" max="16" width="10.44140625" style="3" customWidth="1"/>
    <col min="17" max="18" width="6.44140625" style="3" bestFit="1" customWidth="1"/>
    <col min="19" max="19" width="4.21875" style="3" bestFit="1" customWidth="1"/>
    <col min="20" max="20" width="6.44140625" style="3" bestFit="1" customWidth="1"/>
    <col min="21" max="21" width="4.21875" style="3" bestFit="1" customWidth="1"/>
    <col min="22" max="66" width="6.44140625" style="3" bestFit="1" customWidth="1"/>
    <col min="67" max="67" width="4.21875" style="3" bestFit="1" customWidth="1"/>
    <col min="68" max="82" width="6.44140625" style="3" bestFit="1" customWidth="1"/>
    <col min="83" max="83" width="4.21875" style="3" bestFit="1" customWidth="1"/>
    <col min="84" max="92" width="6.44140625" style="3" bestFit="1" customWidth="1"/>
    <col min="93" max="93" width="4.21875" style="3" bestFit="1" customWidth="1"/>
    <col min="94" max="107" width="6.44140625" style="3" bestFit="1" customWidth="1"/>
    <col min="108" max="108" width="4.21875" style="3" bestFit="1" customWidth="1"/>
    <col min="109" max="134" width="6.44140625" style="3" bestFit="1" customWidth="1"/>
    <col min="135" max="135" width="4.21875" style="3" bestFit="1" customWidth="1"/>
    <col min="136" max="148" width="6.44140625" style="3" bestFit="1" customWidth="1"/>
    <col min="149" max="149" width="4.21875" style="3" bestFit="1" customWidth="1"/>
    <col min="150" max="168" width="6.44140625" style="3" bestFit="1" customWidth="1"/>
    <col min="169" max="169" width="4.21875" style="3" bestFit="1" customWidth="1"/>
    <col min="170" max="206" width="6.44140625" style="3" bestFit="1" customWidth="1"/>
    <col min="207" max="207" width="4.21875" style="3" bestFit="1" customWidth="1"/>
    <col min="208" max="259" width="6.44140625" style="3" bestFit="1" customWidth="1"/>
    <col min="260" max="260" width="4.21875" style="3" bestFit="1" customWidth="1"/>
    <col min="261" max="297" width="6.44140625" style="3" bestFit="1" customWidth="1"/>
    <col min="298" max="298" width="4.21875" style="3" bestFit="1" customWidth="1"/>
    <col min="299" max="304" width="6.44140625" style="3" bestFit="1" customWidth="1"/>
    <col min="305" max="305" width="4.21875" style="3" bestFit="1" customWidth="1"/>
    <col min="306" max="324" width="6.44140625" style="3" bestFit="1" customWidth="1"/>
    <col min="325" max="325" width="4.21875" style="3" bestFit="1" customWidth="1"/>
    <col min="326" max="366" width="6.44140625" style="3" bestFit="1" customWidth="1"/>
    <col min="367" max="367" width="4.21875" style="3" bestFit="1" customWidth="1"/>
    <col min="368" max="409" width="6.44140625" style="3" bestFit="1" customWidth="1"/>
    <col min="410" max="410" width="5.33203125" style="3" bestFit="1" customWidth="1"/>
    <col min="411" max="411" width="7.5546875" style="3" bestFit="1" customWidth="1"/>
    <col min="412" max="412" width="10.88671875" style="3"/>
    <col min="413" max="413" width="6.109375" style="3" bestFit="1" customWidth="1"/>
    <col min="414" max="414" width="12.44140625" style="3" bestFit="1" customWidth="1"/>
    <col min="415" max="16384" width="10.88671875" style="3"/>
  </cols>
  <sheetData>
    <row r="1" spans="1:16" ht="24.6" x14ac:dyDescent="0.25">
      <c r="A1" s="104" t="s">
        <v>3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</row>
    <row r="2" spans="1:16" ht="33" x14ac:dyDescent="0.25">
      <c r="A2" s="94" t="s">
        <v>120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</row>
    <row r="3" spans="1:16" x14ac:dyDescent="0.25">
      <c r="O3" s="99"/>
    </row>
    <row r="4" spans="1:16" ht="21" x14ac:dyDescent="0.4">
      <c r="A4" s="96" t="s">
        <v>175</v>
      </c>
      <c r="B4" s="97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9"/>
    </row>
    <row r="5" spans="1:16" x14ac:dyDescent="0.25">
      <c r="O5" s="99"/>
    </row>
    <row r="6" spans="1:16" ht="13.8" thickBot="1" x14ac:dyDescent="0.3">
      <c r="O6" s="99"/>
    </row>
    <row r="7" spans="1:16" s="2" customFormat="1" ht="27.45" customHeight="1" thickTop="1" thickBot="1" x14ac:dyDescent="0.3">
      <c r="A7" s="1"/>
      <c r="B7" s="177" t="s">
        <v>76</v>
      </c>
      <c r="C7" s="178"/>
      <c r="D7" s="178"/>
      <c r="E7" s="178"/>
      <c r="F7" s="178"/>
      <c r="G7" s="178"/>
      <c r="H7" s="178"/>
      <c r="I7" s="178"/>
      <c r="J7" s="179"/>
      <c r="K7" s="175" t="s">
        <v>0</v>
      </c>
      <c r="L7" s="176"/>
      <c r="N7" s="1"/>
      <c r="O7" s="100"/>
    </row>
    <row r="8" spans="1:16" ht="40.799999999999997" thickTop="1" thickBot="1" x14ac:dyDescent="0.3">
      <c r="A8" s="146" t="s">
        <v>33</v>
      </c>
      <c r="B8" s="72" t="s">
        <v>56</v>
      </c>
      <c r="C8" s="73" t="s">
        <v>63</v>
      </c>
      <c r="D8" s="73" t="s">
        <v>57</v>
      </c>
      <c r="E8" s="73" t="s">
        <v>62</v>
      </c>
      <c r="F8" s="73" t="s">
        <v>61</v>
      </c>
      <c r="G8" s="73" t="s">
        <v>60</v>
      </c>
      <c r="H8" s="73" t="s">
        <v>58</v>
      </c>
      <c r="I8" s="75" t="s">
        <v>59</v>
      </c>
      <c r="J8" s="65" t="s">
        <v>73</v>
      </c>
      <c r="K8" s="74" t="s">
        <v>64</v>
      </c>
      <c r="L8" s="78" t="s">
        <v>65</v>
      </c>
      <c r="M8" s="77" t="s">
        <v>1</v>
      </c>
      <c r="N8" s="65" t="s">
        <v>74</v>
      </c>
      <c r="O8"/>
      <c r="P8"/>
    </row>
    <row r="9" spans="1:16" ht="13.8" thickTop="1" x14ac:dyDescent="0.25">
      <c r="A9" s="4" t="s">
        <v>193</v>
      </c>
      <c r="B9" s="148">
        <v>1830.7272727272727</v>
      </c>
      <c r="C9" s="149">
        <v>130.90909090909091</v>
      </c>
      <c r="D9" s="149">
        <v>10.909090909090908</v>
      </c>
      <c r="E9" s="149">
        <v>50</v>
      </c>
      <c r="F9" s="149">
        <v>0</v>
      </c>
      <c r="G9" s="149">
        <v>10.833333333333334</v>
      </c>
      <c r="H9" s="149">
        <v>0</v>
      </c>
      <c r="I9" s="150">
        <v>0</v>
      </c>
      <c r="J9" s="151">
        <v>2033.378787878788</v>
      </c>
      <c r="K9" s="152">
        <v>197.25454545454548</v>
      </c>
      <c r="L9" s="160">
        <v>12.166666666666668</v>
      </c>
      <c r="M9" s="158">
        <v>9.0000000000000018</v>
      </c>
      <c r="N9" s="151">
        <v>2251.8000000000002</v>
      </c>
      <c r="O9"/>
      <c r="P9"/>
    </row>
    <row r="10" spans="1:16" x14ac:dyDescent="0.25">
      <c r="A10" s="4" t="s">
        <v>174</v>
      </c>
      <c r="B10" s="153">
        <v>1830.7272727272727</v>
      </c>
      <c r="C10" s="154">
        <v>130.90909090909091</v>
      </c>
      <c r="D10" s="154">
        <v>10.909090909090908</v>
      </c>
      <c r="E10" s="154">
        <v>50</v>
      </c>
      <c r="F10" s="154">
        <v>0</v>
      </c>
      <c r="G10" s="154">
        <v>10.833333333333334</v>
      </c>
      <c r="H10" s="154">
        <v>0</v>
      </c>
      <c r="I10" s="155">
        <v>0</v>
      </c>
      <c r="J10" s="156">
        <v>2033.378787878788</v>
      </c>
      <c r="K10" s="157">
        <v>197.25454545454548</v>
      </c>
      <c r="L10" s="161">
        <v>12.166666666666668</v>
      </c>
      <c r="M10" s="159">
        <v>9.0000000000000018</v>
      </c>
      <c r="N10" s="156">
        <v>2251.8000000000002</v>
      </c>
      <c r="O10"/>
      <c r="P10"/>
    </row>
    <row r="11" spans="1:16" x14ac:dyDescent="0.25">
      <c r="A11" s="147" t="s">
        <v>195</v>
      </c>
      <c r="B11" s="153">
        <v>119</v>
      </c>
      <c r="C11" s="154">
        <v>21.818181818181817</v>
      </c>
      <c r="D11" s="154">
        <v>0</v>
      </c>
      <c r="E11" s="154">
        <v>0</v>
      </c>
      <c r="F11" s="154">
        <v>0</v>
      </c>
      <c r="G11" s="154">
        <v>0</v>
      </c>
      <c r="H11" s="154">
        <v>0</v>
      </c>
      <c r="I11" s="155">
        <v>0</v>
      </c>
      <c r="J11" s="156">
        <v>140.81818181818181</v>
      </c>
      <c r="K11" s="157">
        <v>14.081818181818182</v>
      </c>
      <c r="L11" s="161">
        <v>0</v>
      </c>
      <c r="M11" s="159">
        <v>0.9</v>
      </c>
      <c r="N11" s="156">
        <v>155.80000000000001</v>
      </c>
      <c r="O11"/>
      <c r="P11"/>
    </row>
    <row r="12" spans="1:16" x14ac:dyDescent="0.25">
      <c r="A12" s="147" t="s">
        <v>196</v>
      </c>
      <c r="B12" s="153">
        <v>1711.7272727272727</v>
      </c>
      <c r="C12" s="154">
        <v>109.09090909090908</v>
      </c>
      <c r="D12" s="154">
        <v>10.909090909090908</v>
      </c>
      <c r="E12" s="154">
        <v>50</v>
      </c>
      <c r="F12" s="154">
        <v>0</v>
      </c>
      <c r="G12" s="154">
        <v>10.833333333333334</v>
      </c>
      <c r="H12" s="154">
        <v>0</v>
      </c>
      <c r="I12" s="155">
        <v>0</v>
      </c>
      <c r="J12" s="156">
        <v>1892.560606060606</v>
      </c>
      <c r="K12" s="157">
        <v>183.17272727272729</v>
      </c>
      <c r="L12" s="161">
        <v>12.166666666666668</v>
      </c>
      <c r="M12" s="159">
        <v>8.1000000000000014</v>
      </c>
      <c r="N12" s="156">
        <v>2096</v>
      </c>
      <c r="O12"/>
      <c r="P12"/>
    </row>
    <row r="13" spans="1:16" x14ac:dyDescent="0.25">
      <c r="A13" s="4" t="s">
        <v>111</v>
      </c>
      <c r="B13" s="153">
        <v>16321</v>
      </c>
      <c r="C13" s="154">
        <v>996.36363636363626</v>
      </c>
      <c r="D13" s="154">
        <v>37.272727272727266</v>
      </c>
      <c r="E13" s="154">
        <v>3.3333333333333335</v>
      </c>
      <c r="F13" s="154">
        <v>0</v>
      </c>
      <c r="G13" s="154">
        <v>283.33333333333337</v>
      </c>
      <c r="H13" s="154">
        <v>0</v>
      </c>
      <c r="I13" s="155">
        <v>0</v>
      </c>
      <c r="J13" s="156">
        <v>17641.303030303028</v>
      </c>
      <c r="K13" s="157">
        <v>1735.4636363636364</v>
      </c>
      <c r="L13" s="161">
        <v>57.333333333333343</v>
      </c>
      <c r="M13" s="159">
        <v>99.9</v>
      </c>
      <c r="N13" s="156">
        <v>19534</v>
      </c>
      <c r="O13"/>
      <c r="P13"/>
    </row>
    <row r="14" spans="1:16" x14ac:dyDescent="0.25">
      <c r="A14" s="4" t="s">
        <v>194</v>
      </c>
      <c r="B14" s="153">
        <v>6115.6363636363631</v>
      </c>
      <c r="C14" s="154">
        <v>316.36363636363632</v>
      </c>
      <c r="D14" s="154">
        <v>10.909090909090908</v>
      </c>
      <c r="E14" s="154">
        <v>3.3333333333333335</v>
      </c>
      <c r="F14" s="154">
        <v>0</v>
      </c>
      <c r="G14" s="154">
        <v>120.83333333333334</v>
      </c>
      <c r="H14" s="154">
        <v>0</v>
      </c>
      <c r="I14" s="155">
        <v>0</v>
      </c>
      <c r="J14" s="156">
        <v>6567.0757575757561</v>
      </c>
      <c r="K14" s="157">
        <v>644.29090909090905</v>
      </c>
      <c r="L14" s="161">
        <v>24.833333333333336</v>
      </c>
      <c r="M14" s="159">
        <v>36.000000000000007</v>
      </c>
      <c r="N14" s="156">
        <v>7272.1999999999989</v>
      </c>
      <c r="O14"/>
      <c r="P14"/>
    </row>
    <row r="15" spans="1:16" x14ac:dyDescent="0.25">
      <c r="A15" s="147" t="s">
        <v>197</v>
      </c>
      <c r="B15" s="153">
        <v>2353.2727272727275</v>
      </c>
      <c r="C15" s="154">
        <v>141.81818181818181</v>
      </c>
      <c r="D15" s="154">
        <v>10.909090909090908</v>
      </c>
      <c r="E15" s="154">
        <v>0</v>
      </c>
      <c r="F15" s="154">
        <v>0</v>
      </c>
      <c r="G15" s="154">
        <v>12.5</v>
      </c>
      <c r="H15" s="154">
        <v>0</v>
      </c>
      <c r="I15" s="155">
        <v>0</v>
      </c>
      <c r="J15" s="156">
        <v>2518.5000000000005</v>
      </c>
      <c r="K15" s="157">
        <v>250.60000000000005</v>
      </c>
      <c r="L15" s="161">
        <v>2.5</v>
      </c>
      <c r="M15" s="159">
        <v>13.500000000000002</v>
      </c>
      <c r="N15" s="156">
        <v>2785.1</v>
      </c>
      <c r="O15"/>
      <c r="P15"/>
    </row>
    <row r="16" spans="1:16" x14ac:dyDescent="0.25">
      <c r="A16" s="147" t="s">
        <v>198</v>
      </c>
      <c r="B16" s="153">
        <v>1074.909090909091</v>
      </c>
      <c r="C16" s="154">
        <v>21.818181818181817</v>
      </c>
      <c r="D16" s="154">
        <v>0</v>
      </c>
      <c r="E16" s="154">
        <v>3.3333333333333335</v>
      </c>
      <c r="F16" s="154">
        <v>0</v>
      </c>
      <c r="G16" s="154">
        <v>70.833333333333343</v>
      </c>
      <c r="H16" s="154">
        <v>0</v>
      </c>
      <c r="I16" s="155">
        <v>0</v>
      </c>
      <c r="J16" s="156">
        <v>1170.8939393939393</v>
      </c>
      <c r="K16" s="157">
        <v>109.67272727272729</v>
      </c>
      <c r="L16" s="161">
        <v>14.833333333333336</v>
      </c>
      <c r="M16" s="159">
        <v>7.2</v>
      </c>
      <c r="N16" s="156">
        <v>1302.6000000000001</v>
      </c>
      <c r="O16"/>
      <c r="P16"/>
    </row>
    <row r="17" spans="1:16" x14ac:dyDescent="0.25">
      <c r="A17" s="147" t="s">
        <v>199</v>
      </c>
      <c r="B17" s="153">
        <v>962.99999999999989</v>
      </c>
      <c r="C17" s="154">
        <v>54.54545454545454</v>
      </c>
      <c r="D17" s="154">
        <v>0</v>
      </c>
      <c r="E17" s="154">
        <v>0</v>
      </c>
      <c r="F17" s="154">
        <v>0</v>
      </c>
      <c r="G17" s="154">
        <v>12.5</v>
      </c>
      <c r="H17" s="154">
        <v>0</v>
      </c>
      <c r="I17" s="155">
        <v>0</v>
      </c>
      <c r="J17" s="156">
        <v>1030.0454545454545</v>
      </c>
      <c r="K17" s="157">
        <v>101.75454545454545</v>
      </c>
      <c r="L17" s="161">
        <v>2.5</v>
      </c>
      <c r="M17" s="159">
        <v>6.3000000000000007</v>
      </c>
      <c r="N17" s="156">
        <v>1140.5999999999999</v>
      </c>
      <c r="O17"/>
      <c r="P17"/>
    </row>
    <row r="18" spans="1:16" x14ac:dyDescent="0.25">
      <c r="A18" s="147" t="s">
        <v>200</v>
      </c>
      <c r="B18" s="153">
        <v>1724.4545454545455</v>
      </c>
      <c r="C18" s="154">
        <v>98.181818181818173</v>
      </c>
      <c r="D18" s="154">
        <v>0</v>
      </c>
      <c r="E18" s="154">
        <v>0</v>
      </c>
      <c r="F18" s="154">
        <v>0</v>
      </c>
      <c r="G18" s="154">
        <v>25</v>
      </c>
      <c r="H18" s="154">
        <v>0</v>
      </c>
      <c r="I18" s="155">
        <v>0</v>
      </c>
      <c r="J18" s="156">
        <v>1847.6363636363637</v>
      </c>
      <c r="K18" s="157">
        <v>182.26363636363638</v>
      </c>
      <c r="L18" s="161">
        <v>5</v>
      </c>
      <c r="M18" s="159">
        <v>9.0000000000000018</v>
      </c>
      <c r="N18" s="156">
        <v>2043.9</v>
      </c>
      <c r="O18"/>
      <c r="P18"/>
    </row>
    <row r="19" spans="1:16" x14ac:dyDescent="0.25">
      <c r="A19" s="4" t="s">
        <v>174</v>
      </c>
      <c r="B19" s="153">
        <v>10205.363636363632</v>
      </c>
      <c r="C19" s="154">
        <v>680</v>
      </c>
      <c r="D19" s="154">
        <v>26.36363636363636</v>
      </c>
      <c r="E19" s="154">
        <v>0</v>
      </c>
      <c r="F19" s="154">
        <v>0</v>
      </c>
      <c r="G19" s="154">
        <v>162.5</v>
      </c>
      <c r="H19" s="154">
        <v>0</v>
      </c>
      <c r="I19" s="155">
        <v>0</v>
      </c>
      <c r="J19" s="156">
        <v>11074.227272727268</v>
      </c>
      <c r="K19" s="157">
        <v>1091.1727272727269</v>
      </c>
      <c r="L19" s="161">
        <v>32.5</v>
      </c>
      <c r="M19" s="159">
        <v>63.900000000000006</v>
      </c>
      <c r="N19" s="156">
        <v>12261.800000000001</v>
      </c>
      <c r="O19"/>
      <c r="P19"/>
    </row>
    <row r="20" spans="1:16" x14ac:dyDescent="0.25">
      <c r="A20" s="147" t="s">
        <v>201</v>
      </c>
      <c r="B20" s="153">
        <v>1947</v>
      </c>
      <c r="C20" s="154">
        <v>98.181818181818173</v>
      </c>
      <c r="D20" s="154">
        <v>18.18181818181818</v>
      </c>
      <c r="E20" s="154">
        <v>0</v>
      </c>
      <c r="F20" s="154">
        <v>0</v>
      </c>
      <c r="G20" s="154">
        <v>12.5</v>
      </c>
      <c r="H20" s="154">
        <v>0</v>
      </c>
      <c r="I20" s="155">
        <v>0</v>
      </c>
      <c r="J20" s="156">
        <v>2075.8636363636365</v>
      </c>
      <c r="K20" s="157">
        <v>206.33636363636367</v>
      </c>
      <c r="L20" s="161">
        <v>2.5</v>
      </c>
      <c r="M20" s="159">
        <v>9.9000000000000021</v>
      </c>
      <c r="N20" s="156">
        <v>2294.6</v>
      </c>
      <c r="O20"/>
      <c r="P20"/>
    </row>
    <row r="21" spans="1:16" x14ac:dyDescent="0.25">
      <c r="A21" s="147" t="s">
        <v>202</v>
      </c>
      <c r="B21" s="153">
        <v>1849.7272727272725</v>
      </c>
      <c r="C21" s="154">
        <v>65.454545454545453</v>
      </c>
      <c r="D21" s="154">
        <v>0</v>
      </c>
      <c r="E21" s="154">
        <v>0</v>
      </c>
      <c r="F21" s="154">
        <v>0</v>
      </c>
      <c r="G21" s="154">
        <v>0</v>
      </c>
      <c r="H21" s="154">
        <v>0</v>
      </c>
      <c r="I21" s="155">
        <v>0</v>
      </c>
      <c r="J21" s="156">
        <v>1915.181818181818</v>
      </c>
      <c r="K21" s="157">
        <v>191.5181818181818</v>
      </c>
      <c r="L21" s="161">
        <v>0</v>
      </c>
      <c r="M21" s="159">
        <v>9.9000000000000021</v>
      </c>
      <c r="N21" s="156">
        <v>2116.6</v>
      </c>
      <c r="O21"/>
      <c r="P21"/>
    </row>
    <row r="22" spans="1:16" x14ac:dyDescent="0.25">
      <c r="A22" s="147" t="s">
        <v>203</v>
      </c>
      <c r="B22" s="153">
        <v>753.27272727272737</v>
      </c>
      <c r="C22" s="154">
        <v>21.818181818181817</v>
      </c>
      <c r="D22" s="154">
        <v>0</v>
      </c>
      <c r="E22" s="154">
        <v>0</v>
      </c>
      <c r="F22" s="154">
        <v>0</v>
      </c>
      <c r="G22" s="154">
        <v>12.5</v>
      </c>
      <c r="H22" s="154">
        <v>0</v>
      </c>
      <c r="I22" s="155">
        <v>0</v>
      </c>
      <c r="J22" s="156">
        <v>787.59090909090924</v>
      </c>
      <c r="K22" s="157">
        <v>77.509090909090929</v>
      </c>
      <c r="L22" s="161">
        <v>2.5</v>
      </c>
      <c r="M22" s="159">
        <v>4.5</v>
      </c>
      <c r="N22" s="156">
        <v>872.1</v>
      </c>
      <c r="O22"/>
      <c r="P22"/>
    </row>
    <row r="23" spans="1:16" x14ac:dyDescent="0.25">
      <c r="A23" s="147" t="s">
        <v>204</v>
      </c>
      <c r="B23" s="153">
        <v>3106.727272727273</v>
      </c>
      <c r="C23" s="154">
        <v>250.90909090909088</v>
      </c>
      <c r="D23" s="154">
        <v>8.1818181818181817</v>
      </c>
      <c r="E23" s="154">
        <v>0</v>
      </c>
      <c r="F23" s="154">
        <v>0</v>
      </c>
      <c r="G23" s="154">
        <v>50</v>
      </c>
      <c r="H23" s="154">
        <v>0</v>
      </c>
      <c r="I23" s="155">
        <v>0</v>
      </c>
      <c r="J23" s="156">
        <v>3415.818181818182</v>
      </c>
      <c r="K23" s="157">
        <v>336.58181818181822</v>
      </c>
      <c r="L23" s="161">
        <v>10</v>
      </c>
      <c r="M23" s="159">
        <v>17.099999999999998</v>
      </c>
      <c r="N23" s="156">
        <v>3779.5000000000005</v>
      </c>
      <c r="O23"/>
      <c r="P23"/>
    </row>
    <row r="24" spans="1:16" x14ac:dyDescent="0.25">
      <c r="A24" s="147" t="s">
        <v>205</v>
      </c>
      <c r="B24" s="153">
        <v>1355.818181818182</v>
      </c>
      <c r="C24" s="154">
        <v>130.90909090909091</v>
      </c>
      <c r="D24" s="154">
        <v>0</v>
      </c>
      <c r="E24" s="154">
        <v>0</v>
      </c>
      <c r="F24" s="154">
        <v>0</v>
      </c>
      <c r="G24" s="154">
        <v>50</v>
      </c>
      <c r="H24" s="154">
        <v>0</v>
      </c>
      <c r="I24" s="155">
        <v>0</v>
      </c>
      <c r="J24" s="156">
        <v>1536.727272727273</v>
      </c>
      <c r="K24" s="157">
        <v>148.67272727272731</v>
      </c>
      <c r="L24" s="161">
        <v>10</v>
      </c>
      <c r="M24" s="159">
        <v>11.700000000000001</v>
      </c>
      <c r="N24" s="156">
        <v>1707.0999999999997</v>
      </c>
      <c r="O24"/>
      <c r="P24"/>
    </row>
    <row r="25" spans="1:16" ht="13.8" thickBot="1" x14ac:dyDescent="0.3">
      <c r="A25" s="147" t="s">
        <v>206</v>
      </c>
      <c r="B25" s="153">
        <v>1192.8181818181815</v>
      </c>
      <c r="C25" s="154">
        <v>112.72727272727272</v>
      </c>
      <c r="D25" s="154">
        <v>0</v>
      </c>
      <c r="E25" s="154">
        <v>0</v>
      </c>
      <c r="F25" s="154">
        <v>0</v>
      </c>
      <c r="G25" s="154">
        <v>37.5</v>
      </c>
      <c r="H25" s="154">
        <v>0</v>
      </c>
      <c r="I25" s="155">
        <v>0</v>
      </c>
      <c r="J25" s="156">
        <v>1343.0454545454543</v>
      </c>
      <c r="K25" s="157">
        <v>130.55454545454543</v>
      </c>
      <c r="L25" s="161">
        <v>7.5</v>
      </c>
      <c r="M25" s="159">
        <v>10.8</v>
      </c>
      <c r="N25" s="156">
        <v>1491.9</v>
      </c>
      <c r="O25"/>
      <c r="P25"/>
    </row>
    <row r="26" spans="1:16" ht="14.4" thickTop="1" thickBot="1" x14ac:dyDescent="0.3">
      <c r="A26" s="162" t="s">
        <v>66</v>
      </c>
      <c r="B26" s="67">
        <v>18151.727272727279</v>
      </c>
      <c r="C26" s="68">
        <v>1127.2727272727273</v>
      </c>
      <c r="D26" s="68">
        <v>48.18181818181818</v>
      </c>
      <c r="E26" s="68">
        <v>53.333333333333336</v>
      </c>
      <c r="F26" s="68">
        <v>0</v>
      </c>
      <c r="G26" s="68">
        <v>294.16666666666669</v>
      </c>
      <c r="H26" s="68">
        <v>0</v>
      </c>
      <c r="I26" s="69">
        <v>0</v>
      </c>
      <c r="J26" s="66">
        <v>19674.681818181827</v>
      </c>
      <c r="K26" s="70">
        <v>1932.7181818181828</v>
      </c>
      <c r="L26" s="71">
        <v>69.5</v>
      </c>
      <c r="M26" s="76">
        <v>108.9</v>
      </c>
      <c r="N26" s="66">
        <v>21785.800000000003</v>
      </c>
      <c r="O26"/>
      <c r="P26"/>
    </row>
    <row r="27" spans="1:16" ht="13.8" thickTop="1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</row>
    <row r="29" spans="1:16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</row>
    <row r="30" spans="1:16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</row>
    <row r="31" spans="1:16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</row>
    <row r="32" spans="1:16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</row>
    <row r="33" spans="1:16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</row>
    <row r="34" spans="1:16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</row>
    <row r="35" spans="1:16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</row>
    <row r="36" spans="1:16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</row>
    <row r="37" spans="1:16" ht="13.8" thickBo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 ht="14.4" thickTop="1" thickBo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</row>
    <row r="39" spans="1:16" ht="13.8" thickTop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</row>
    <row r="40" spans="1:16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</row>
    <row r="41" spans="1:16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</row>
    <row r="42" spans="1:16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</row>
    <row r="43" spans="1:16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</row>
    <row r="46" spans="1:16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</row>
    <row r="47" spans="1:16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</row>
    <row r="48" spans="1:16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</row>
    <row r="49" spans="1:16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</row>
    <row r="50" spans="1:16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</row>
    <row r="51" spans="1:16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</row>
    <row r="52" spans="1:16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</row>
    <row r="53" spans="1:16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</row>
    <row r="54" spans="1:16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</row>
    <row r="56" spans="1:16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</row>
    <row r="57" spans="1:16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</row>
    <row r="58" spans="1:16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</row>
    <row r="59" spans="1:16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</row>
    <row r="61" spans="1:16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1:16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16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16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</row>
    <row r="65" spans="1:16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</row>
    <row r="66" spans="1:16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</row>
    <row r="67" spans="1:16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</row>
    <row r="68" spans="1:16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</row>
    <row r="69" spans="1:16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</row>
    <row r="70" spans="1:16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  <row r="71" spans="1:16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</row>
    <row r="72" spans="1:16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</row>
    <row r="73" spans="1:16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</row>
    <row r="74" spans="1:16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</row>
    <row r="75" spans="1:16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</row>
    <row r="76" spans="1:16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</row>
    <row r="77" spans="1:16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</row>
    <row r="78" spans="1:16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</row>
    <row r="79" spans="1:16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</row>
    <row r="80" spans="1:16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</row>
    <row r="81" spans="1:16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</row>
    <row r="82" spans="1:16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</row>
    <row r="83" spans="1:16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</row>
    <row r="84" spans="1:16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</row>
    <row r="85" spans="1:16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</row>
    <row r="86" spans="1:16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</row>
    <row r="87" spans="1:16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</row>
    <row r="88" spans="1:16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</row>
    <row r="89" spans="1:16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</row>
    <row r="90" spans="1:16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</row>
    <row r="91" spans="1:16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</row>
    <row r="92" spans="1:16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</row>
    <row r="93" spans="1:16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</row>
    <row r="94" spans="1:16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</row>
    <row r="95" spans="1:16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</row>
    <row r="96" spans="1:16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</row>
    <row r="97" spans="1:16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</row>
    <row r="98" spans="1:16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</row>
    <row r="99" spans="1:16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</row>
    <row r="100" spans="1:16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</row>
    <row r="101" spans="1:16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</row>
    <row r="102" spans="1:16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</row>
    <row r="103" spans="1:16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</row>
    <row r="104" spans="1:16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</row>
    <row r="105" spans="1:16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</row>
    <row r="106" spans="1:16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</row>
    <row r="107" spans="1:16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</row>
    <row r="108" spans="1:16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</row>
    <row r="109" spans="1:16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</row>
    <row r="110" spans="1:16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</row>
    <row r="111" spans="1:16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</row>
    <row r="112" spans="1:16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</row>
    <row r="113" spans="1:16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</row>
    <row r="114" spans="1:16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</row>
    <row r="115" spans="1:16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</row>
    <row r="116" spans="1:16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</row>
    <row r="117" spans="1:16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</row>
    <row r="118" spans="1:16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</row>
    <row r="119" spans="1:16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</row>
    <row r="120" spans="1:16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</row>
    <row r="121" spans="1:16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</row>
    <row r="122" spans="1:16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</row>
    <row r="123" spans="1:16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</row>
    <row r="124" spans="1:16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16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</row>
    <row r="126" spans="1:16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</row>
    <row r="127" spans="1:16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</row>
    <row r="128" spans="1:16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</row>
    <row r="129" spans="1:16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</row>
    <row r="130" spans="1:16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</row>
    <row r="131" spans="1:16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</row>
    <row r="132" spans="1:16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</row>
    <row r="133" spans="1:16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</row>
    <row r="134" spans="1:16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</row>
    <row r="135" spans="1:16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</row>
    <row r="136" spans="1:16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</row>
    <row r="137" spans="1:16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</row>
    <row r="138" spans="1:16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</row>
    <row r="139" spans="1:16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</row>
    <row r="140" spans="1:16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</row>
    <row r="141" spans="1:16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</row>
    <row r="142" spans="1:16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</row>
    <row r="143" spans="1:16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</row>
    <row r="144" spans="1:16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</row>
    <row r="145" spans="1:16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</row>
    <row r="146" spans="1:16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</row>
    <row r="147" spans="1:16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</row>
    <row r="148" spans="1:16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</row>
    <row r="149" spans="1:16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</row>
    <row r="150" spans="1:16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</row>
    <row r="151" spans="1:16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</row>
    <row r="152" spans="1:16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</row>
    <row r="153" spans="1:16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</row>
    <row r="154" spans="1:16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</row>
    <row r="155" spans="1:16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</row>
    <row r="156" spans="1:16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</row>
    <row r="157" spans="1:16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</row>
    <row r="158" spans="1:16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</row>
    <row r="159" spans="1:16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</row>
    <row r="160" spans="1:16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</row>
    <row r="161" spans="1:16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</row>
    <row r="162" spans="1:16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</row>
    <row r="163" spans="1:16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</row>
    <row r="164" spans="1:16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</row>
    <row r="165" spans="1:16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</row>
    <row r="166" spans="1:16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</row>
    <row r="167" spans="1:16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</row>
    <row r="168" spans="1:16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</row>
    <row r="169" spans="1:16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</row>
    <row r="170" spans="1:16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</row>
    <row r="171" spans="1:16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</row>
    <row r="172" spans="1:16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</row>
    <row r="173" spans="1:16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</row>
    <row r="174" spans="1:16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</row>
    <row r="175" spans="1:16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</row>
    <row r="176" spans="1:16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</row>
    <row r="177" spans="1:16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</row>
    <row r="178" spans="1:16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</row>
    <row r="179" spans="1:16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</row>
    <row r="180" spans="1:16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</row>
    <row r="181" spans="1:16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</row>
    <row r="182" spans="1:16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</row>
    <row r="183" spans="1:16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</row>
    <row r="184" spans="1:16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</row>
    <row r="185" spans="1:16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16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16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</row>
    <row r="188" spans="1:16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</row>
    <row r="189" spans="1:16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</row>
    <row r="190" spans="1:16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</row>
    <row r="191" spans="1:16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</row>
    <row r="192" spans="1:16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</row>
    <row r="193" spans="1:16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</row>
    <row r="194" spans="1:16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</row>
    <row r="195" spans="1:16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</row>
    <row r="196" spans="1:16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</row>
    <row r="197" spans="1:16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</row>
    <row r="198" spans="1:16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</row>
    <row r="199" spans="1:16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</row>
    <row r="200" spans="1:16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</row>
    <row r="201" spans="1:16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</row>
    <row r="202" spans="1:16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</row>
    <row r="203" spans="1:16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</row>
    <row r="204" spans="1:16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</row>
    <row r="205" spans="1:16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</row>
    <row r="206" spans="1:16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</row>
    <row r="207" spans="1:16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</row>
    <row r="208" spans="1:16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</row>
    <row r="209" spans="1:16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</row>
    <row r="210" spans="1:16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</row>
    <row r="211" spans="1:16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</row>
    <row r="212" spans="1:16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</row>
    <row r="213" spans="1:16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</row>
    <row r="214" spans="1:16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</row>
    <row r="215" spans="1:16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</row>
    <row r="216" spans="1:16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</row>
    <row r="217" spans="1:16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</row>
    <row r="218" spans="1:16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</row>
    <row r="219" spans="1:16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</row>
    <row r="220" spans="1:16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</row>
    <row r="221" spans="1:16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</row>
    <row r="222" spans="1:16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</row>
    <row r="223" spans="1:16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</row>
    <row r="224" spans="1:16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</row>
    <row r="225" spans="1:16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</row>
    <row r="226" spans="1:16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</row>
    <row r="227" spans="1:16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</row>
    <row r="228" spans="1:16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</row>
    <row r="229" spans="1:16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</row>
    <row r="230" spans="1:16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</row>
    <row r="231" spans="1:16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</row>
    <row r="232" spans="1:16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</row>
    <row r="233" spans="1:16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</row>
    <row r="234" spans="1:16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</row>
    <row r="235" spans="1:16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</row>
    <row r="236" spans="1:16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</row>
    <row r="237" spans="1:16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</row>
    <row r="238" spans="1:16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</row>
    <row r="239" spans="1:16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</row>
    <row r="240" spans="1:16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</row>
    <row r="241" spans="1:16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</row>
    <row r="242" spans="1:16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</row>
    <row r="243" spans="1:16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</row>
    <row r="244" spans="1:16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</row>
    <row r="245" spans="1:16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</row>
    <row r="246" spans="1:16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</row>
    <row r="247" spans="1:16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</row>
    <row r="248" spans="1:16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</row>
    <row r="249" spans="1:16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</row>
    <row r="250" spans="1:16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</row>
    <row r="251" spans="1:16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</row>
    <row r="252" spans="1:16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</row>
    <row r="253" spans="1:16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</row>
    <row r="254" spans="1:16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</row>
    <row r="255" spans="1:16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</row>
    <row r="256" spans="1:16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</row>
    <row r="257" spans="1:16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</row>
    <row r="258" spans="1:16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</row>
    <row r="259" spans="1:16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</row>
    <row r="260" spans="1:16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</row>
    <row r="261" spans="1:16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</row>
    <row r="262" spans="1:16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</row>
    <row r="263" spans="1:16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</row>
    <row r="264" spans="1:16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</row>
    <row r="265" spans="1:16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</row>
    <row r="266" spans="1:16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</row>
    <row r="267" spans="1:16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</row>
    <row r="268" spans="1:16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</row>
    <row r="269" spans="1:16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</row>
    <row r="270" spans="1:16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</row>
    <row r="271" spans="1:16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</row>
    <row r="272" spans="1:16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</row>
    <row r="273" spans="1:16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</row>
    <row r="274" spans="1:16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</row>
    <row r="275" spans="1:16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</row>
    <row r="276" spans="1:16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</row>
    <row r="277" spans="1:16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</row>
    <row r="278" spans="1:16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</row>
    <row r="279" spans="1:16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</row>
    <row r="280" spans="1:16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</row>
    <row r="281" spans="1:16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</row>
    <row r="282" spans="1:16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</row>
    <row r="283" spans="1:16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</row>
    <row r="284" spans="1:16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</row>
    <row r="285" spans="1:16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</row>
    <row r="286" spans="1:16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</row>
    <row r="287" spans="1:16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</row>
    <row r="288" spans="1:16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</row>
    <row r="289" spans="1:16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</row>
    <row r="290" spans="1:16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</row>
    <row r="291" spans="1:16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</row>
    <row r="292" spans="1:16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</row>
    <row r="293" spans="1:16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</row>
    <row r="294" spans="1:16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</row>
    <row r="295" spans="1:16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</row>
    <row r="296" spans="1:16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</row>
    <row r="297" spans="1:16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</row>
    <row r="298" spans="1:16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</row>
    <row r="299" spans="1:16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</row>
    <row r="300" spans="1:16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</row>
    <row r="301" spans="1:16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</row>
    <row r="302" spans="1:16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</row>
    <row r="303" spans="1:16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</row>
    <row r="304" spans="1:16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</row>
    <row r="305" spans="1:16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</row>
    <row r="306" spans="1:16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</row>
    <row r="307" spans="1:16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</row>
    <row r="308" spans="1:16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</row>
    <row r="309" spans="1:16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</row>
    <row r="310" spans="1:16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</row>
    <row r="311" spans="1:16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</row>
    <row r="312" spans="1:16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</row>
    <row r="313" spans="1:16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</row>
    <row r="314" spans="1:16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</row>
    <row r="315" spans="1:16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</row>
    <row r="316" spans="1:16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</row>
    <row r="317" spans="1:16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</row>
    <row r="318" spans="1:16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</row>
    <row r="319" spans="1:16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</row>
    <row r="320" spans="1:16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</row>
    <row r="321" spans="1:16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</row>
    <row r="322" spans="1:16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</row>
    <row r="323" spans="1:16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</row>
    <row r="324" spans="1:16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</row>
    <row r="325" spans="1:16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</row>
    <row r="326" spans="1:16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</row>
    <row r="327" spans="1:16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</row>
    <row r="328" spans="1:16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</row>
    <row r="329" spans="1:16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</row>
    <row r="330" spans="1:16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</row>
    <row r="331" spans="1:16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</row>
    <row r="332" spans="1:16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</row>
    <row r="333" spans="1:16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</row>
    <row r="334" spans="1:16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</row>
    <row r="335" spans="1:16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</row>
    <row r="336" spans="1:16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</row>
    <row r="337" spans="1:16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</row>
    <row r="338" spans="1:16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</row>
    <row r="339" spans="1:16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</row>
    <row r="340" spans="1:16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</row>
    <row r="341" spans="1:16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</row>
    <row r="342" spans="1:16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</row>
    <row r="343" spans="1:16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</row>
    <row r="344" spans="1:16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</row>
    <row r="345" spans="1:16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</row>
    <row r="346" spans="1:16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</row>
    <row r="347" spans="1:16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</row>
    <row r="348" spans="1:16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</row>
    <row r="349" spans="1:16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</row>
    <row r="350" spans="1:16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</row>
    <row r="351" spans="1:16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</row>
    <row r="352" spans="1:16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</row>
    <row r="353" spans="1:16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</row>
    <row r="354" spans="1:16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</row>
    <row r="355" spans="1:16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</row>
    <row r="356" spans="1:16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</row>
    <row r="357" spans="1:16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</row>
    <row r="358" spans="1:16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</row>
    <row r="359" spans="1:16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</row>
    <row r="360" spans="1:16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</row>
    <row r="361" spans="1:16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</row>
    <row r="362" spans="1:16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</row>
    <row r="363" spans="1:16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</row>
    <row r="364" spans="1:16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</row>
    <row r="365" spans="1:16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</row>
    <row r="366" spans="1:16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</row>
    <row r="367" spans="1:16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</row>
    <row r="368" spans="1:16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</row>
    <row r="369" spans="1:16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</row>
    <row r="370" spans="1:16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</row>
    <row r="371" spans="1:16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</row>
    <row r="372" spans="1:16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</row>
    <row r="373" spans="1:16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</row>
    <row r="374" spans="1:16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</row>
    <row r="375" spans="1:16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</row>
    <row r="376" spans="1:16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</row>
    <row r="377" spans="1:16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</row>
    <row r="378" spans="1:16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</row>
    <row r="379" spans="1:16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</row>
    <row r="380" spans="1:16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</row>
    <row r="381" spans="1:16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</row>
    <row r="382" spans="1:16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</row>
    <row r="383" spans="1:16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</row>
    <row r="384" spans="1:16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</row>
    <row r="385" spans="1:16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</row>
    <row r="386" spans="1:16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</row>
    <row r="387" spans="1:16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</row>
    <row r="388" spans="1:16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</row>
    <row r="389" spans="1:16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</row>
    <row r="390" spans="1:16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</row>
    <row r="391" spans="1:16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</row>
    <row r="392" spans="1:16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</row>
    <row r="393" spans="1:16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</row>
    <row r="394" spans="1:16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</row>
    <row r="395" spans="1:16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</row>
    <row r="396" spans="1:16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</row>
    <row r="397" spans="1:16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</row>
    <row r="398" spans="1:16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</row>
    <row r="399" spans="1:16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</row>
    <row r="400" spans="1:16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</row>
    <row r="401" spans="1:16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</row>
    <row r="402" spans="1:16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</row>
    <row r="403" spans="1:16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</row>
    <row r="404" spans="1:16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</row>
    <row r="405" spans="1:16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</row>
    <row r="406" spans="1:16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</row>
    <row r="407" spans="1:16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</row>
    <row r="408" spans="1:16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</row>
    <row r="409" spans="1:16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</row>
    <row r="410" spans="1:16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</row>
    <row r="411" spans="1:16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</row>
    <row r="412" spans="1:16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</row>
    <row r="413" spans="1:16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</row>
    <row r="414" spans="1:16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</row>
    <row r="415" spans="1:16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</row>
    <row r="416" spans="1:16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</row>
    <row r="417" spans="1:16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</row>
    <row r="418" spans="1:16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</row>
    <row r="419" spans="1:16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</row>
    <row r="420" spans="1:16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</row>
    <row r="421" spans="1:16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</row>
    <row r="422" spans="1:16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</row>
    <row r="423" spans="1:16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</row>
    <row r="424" spans="1:16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</row>
    <row r="425" spans="1:16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</row>
    <row r="426" spans="1:16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</row>
    <row r="427" spans="1:16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</row>
    <row r="428" spans="1:16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</row>
    <row r="429" spans="1:16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</row>
    <row r="430" spans="1:16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</row>
    <row r="431" spans="1:16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</row>
    <row r="432" spans="1:16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</row>
    <row r="433" spans="1:16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</row>
    <row r="434" spans="1:16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</row>
    <row r="435" spans="1:16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</row>
    <row r="436" spans="1:16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</row>
    <row r="437" spans="1:16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</row>
    <row r="438" spans="1:16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</row>
    <row r="439" spans="1:16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</row>
    <row r="440" spans="1:16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</row>
    <row r="441" spans="1:16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</row>
    <row r="442" spans="1:16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</row>
    <row r="443" spans="1:16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</row>
    <row r="444" spans="1:16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</row>
    <row r="445" spans="1:16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</row>
    <row r="446" spans="1:16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</row>
    <row r="447" spans="1:16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</row>
    <row r="448" spans="1:16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</row>
    <row r="449" spans="1:16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</row>
    <row r="450" spans="1:16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</row>
    <row r="451" spans="1:16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</row>
    <row r="452" spans="1:16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</row>
    <row r="453" spans="1:16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</row>
    <row r="454" spans="1:16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</row>
    <row r="455" spans="1:16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</row>
    <row r="456" spans="1:16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</row>
    <row r="457" spans="1:16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</row>
    <row r="458" spans="1:16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</row>
    <row r="459" spans="1:16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</row>
    <row r="460" spans="1:16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</row>
    <row r="461" spans="1:16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</row>
    <row r="462" spans="1:16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</row>
    <row r="463" spans="1:16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</row>
    <row r="464" spans="1:16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</row>
    <row r="465" spans="1:16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</row>
    <row r="466" spans="1:16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</row>
    <row r="467" spans="1:16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</row>
    <row r="468" spans="1:16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</row>
    <row r="469" spans="1:16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</row>
    <row r="470" spans="1:16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</row>
    <row r="471" spans="1:16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</row>
    <row r="472" spans="1:16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</row>
    <row r="473" spans="1:16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</row>
    <row r="474" spans="1:16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</row>
    <row r="475" spans="1:16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</row>
    <row r="476" spans="1:16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</row>
    <row r="477" spans="1:16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</row>
    <row r="478" spans="1:16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</row>
    <row r="479" spans="1:16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</row>
    <row r="480" spans="1:16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</row>
    <row r="481" spans="1:16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</row>
    <row r="482" spans="1:16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</row>
    <row r="483" spans="1:16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</row>
    <row r="484" spans="1:16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</row>
    <row r="485" spans="1:16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</row>
    <row r="486" spans="1:16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</row>
    <row r="487" spans="1:16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</row>
    <row r="488" spans="1:16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</row>
    <row r="489" spans="1:16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</row>
    <row r="490" spans="1:16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</row>
    <row r="491" spans="1:16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</row>
    <row r="492" spans="1:16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</row>
    <row r="493" spans="1:16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</row>
    <row r="494" spans="1:16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</row>
    <row r="495" spans="1:16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</row>
    <row r="496" spans="1:16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</row>
    <row r="497" spans="1:16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</row>
    <row r="498" spans="1:16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</row>
    <row r="499" spans="1:16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</row>
    <row r="500" spans="1:16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</row>
    <row r="501" spans="1:16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</row>
    <row r="502" spans="1:16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</row>
    <row r="503" spans="1:16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</row>
    <row r="504" spans="1:16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</row>
    <row r="505" spans="1:16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</row>
    <row r="506" spans="1:16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</row>
    <row r="507" spans="1:16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</row>
    <row r="508" spans="1:16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</row>
    <row r="509" spans="1:16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</row>
    <row r="510" spans="1:16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</row>
    <row r="511" spans="1:16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</row>
    <row r="512" spans="1:16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</row>
    <row r="513" spans="1:16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</row>
    <row r="514" spans="1:16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</row>
    <row r="515" spans="1:16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</row>
    <row r="516" spans="1:16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</row>
    <row r="517" spans="1:16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</row>
    <row r="518" spans="1:16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</row>
    <row r="519" spans="1:16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</row>
    <row r="520" spans="1:16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</row>
    <row r="521" spans="1:16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</row>
    <row r="522" spans="1:16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</row>
    <row r="523" spans="1:16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</row>
    <row r="524" spans="1:16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</row>
    <row r="525" spans="1:16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</row>
    <row r="526" spans="1:16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</row>
    <row r="527" spans="1:16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</row>
    <row r="528" spans="1:16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</row>
    <row r="529" spans="1:16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</row>
    <row r="530" spans="1:16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</row>
    <row r="531" spans="1:16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</row>
    <row r="532" spans="1:16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</row>
    <row r="533" spans="1:16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</row>
    <row r="534" spans="1:16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</row>
    <row r="535" spans="1:16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</row>
    <row r="536" spans="1:16" ht="13.8" thickBot="1" x14ac:dyDescent="0.3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</row>
    <row r="537" spans="1:16" ht="14.4" thickTop="1" thickBot="1" x14ac:dyDescent="0.3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</row>
    <row r="538" spans="1:16" ht="13.8" thickTop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99"/>
    </row>
    <row r="539" spans="1:1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99"/>
    </row>
    <row r="540" spans="1:1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99"/>
    </row>
    <row r="541" spans="1:1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99"/>
    </row>
    <row r="542" spans="1:1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99"/>
    </row>
    <row r="543" spans="1:1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99"/>
    </row>
    <row r="544" spans="1:1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99"/>
    </row>
    <row r="545" spans="1:1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99"/>
    </row>
    <row r="546" spans="1:1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99"/>
    </row>
    <row r="547" spans="1:1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99"/>
    </row>
    <row r="548" spans="1:1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99"/>
    </row>
    <row r="549" spans="1:1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99"/>
    </row>
    <row r="550" spans="1:1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99"/>
    </row>
    <row r="551" spans="1:1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99"/>
    </row>
    <row r="552" spans="1:1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99"/>
    </row>
    <row r="553" spans="1:1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99"/>
    </row>
    <row r="554" spans="1:1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99"/>
    </row>
    <row r="555" spans="1:1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99"/>
    </row>
    <row r="556" spans="1:1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99"/>
    </row>
    <row r="557" spans="1:1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99"/>
    </row>
    <row r="558" spans="1:1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99"/>
    </row>
    <row r="559" spans="1:1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99"/>
    </row>
    <row r="560" spans="1:1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99"/>
    </row>
    <row r="561" spans="1:1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99"/>
    </row>
    <row r="562" spans="1:1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99"/>
    </row>
    <row r="563" spans="1:1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99"/>
    </row>
    <row r="564" spans="1:1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99"/>
    </row>
    <row r="565" spans="1:1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99"/>
    </row>
    <row r="566" spans="1:1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99"/>
    </row>
    <row r="567" spans="1:1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99"/>
    </row>
    <row r="568" spans="1:1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99"/>
    </row>
    <row r="569" spans="1:1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99"/>
    </row>
    <row r="570" spans="1:1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99"/>
    </row>
    <row r="571" spans="1:1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99"/>
    </row>
    <row r="572" spans="1:1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99"/>
    </row>
    <row r="573" spans="1:1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99"/>
    </row>
    <row r="574" spans="1:1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99"/>
    </row>
    <row r="575" spans="1:1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99"/>
    </row>
    <row r="576" spans="1:1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99"/>
    </row>
    <row r="577" spans="1:1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99"/>
    </row>
    <row r="578" spans="1:1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99"/>
    </row>
    <row r="579" spans="1:1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99"/>
    </row>
    <row r="580" spans="1:1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99"/>
    </row>
    <row r="581" spans="1:1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99"/>
    </row>
    <row r="582" spans="1:1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99"/>
    </row>
    <row r="583" spans="1:1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99"/>
    </row>
    <row r="584" spans="1:1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99"/>
    </row>
    <row r="585" spans="1:1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99"/>
    </row>
    <row r="586" spans="1:1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99"/>
    </row>
    <row r="587" spans="1:1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99"/>
    </row>
    <row r="588" spans="1:1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99"/>
    </row>
    <row r="589" spans="1:1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99"/>
    </row>
    <row r="590" spans="1:1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99"/>
    </row>
    <row r="591" spans="1:1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99"/>
    </row>
    <row r="592" spans="1:1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99"/>
    </row>
    <row r="593" spans="1:1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99"/>
    </row>
    <row r="594" spans="1:1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99"/>
    </row>
    <row r="595" spans="1:1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99"/>
    </row>
    <row r="596" spans="1:1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99"/>
    </row>
    <row r="597" spans="1:1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99"/>
    </row>
    <row r="598" spans="1:1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99"/>
    </row>
    <row r="599" spans="1:1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99"/>
    </row>
    <row r="600" spans="1:1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99"/>
    </row>
    <row r="601" spans="1:1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99"/>
    </row>
    <row r="602" spans="1:1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99"/>
    </row>
    <row r="603" spans="1:1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99"/>
    </row>
    <row r="604" spans="1:1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99"/>
    </row>
    <row r="605" spans="1:1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99"/>
    </row>
    <row r="606" spans="1:1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99"/>
    </row>
    <row r="607" spans="1:1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99"/>
    </row>
    <row r="608" spans="1:1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99"/>
    </row>
    <row r="609" spans="1:1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99"/>
    </row>
    <row r="610" spans="1:1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99"/>
    </row>
    <row r="611" spans="1:1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99"/>
    </row>
    <row r="612" spans="1:1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99"/>
    </row>
    <row r="613" spans="1:1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99"/>
    </row>
    <row r="614" spans="1:1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99"/>
    </row>
    <row r="615" spans="1:1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99"/>
    </row>
    <row r="616" spans="1:1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99"/>
    </row>
    <row r="617" spans="1:1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99"/>
    </row>
    <row r="618" spans="1:1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99"/>
    </row>
    <row r="619" spans="1:1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99"/>
    </row>
    <row r="620" spans="1:1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99"/>
    </row>
    <row r="621" spans="1:1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99"/>
    </row>
    <row r="622" spans="1:1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99"/>
    </row>
    <row r="623" spans="1:1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99"/>
    </row>
    <row r="624" spans="1:1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99"/>
    </row>
    <row r="625" spans="1:1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99"/>
    </row>
    <row r="626" spans="1:1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99"/>
    </row>
    <row r="627" spans="1:1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99"/>
    </row>
    <row r="628" spans="1:1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99"/>
    </row>
    <row r="629" spans="1:1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99"/>
    </row>
    <row r="630" spans="1:1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99"/>
    </row>
    <row r="631" spans="1:1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99"/>
    </row>
    <row r="632" spans="1:1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99"/>
    </row>
    <row r="633" spans="1:1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99"/>
    </row>
    <row r="634" spans="1:1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99"/>
    </row>
    <row r="635" spans="1:1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99"/>
    </row>
    <row r="636" spans="1:1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99"/>
    </row>
    <row r="637" spans="1:1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99"/>
    </row>
    <row r="638" spans="1:1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99"/>
    </row>
    <row r="639" spans="1:1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99"/>
    </row>
    <row r="640" spans="1:1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99"/>
    </row>
    <row r="641" spans="1:1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99"/>
    </row>
    <row r="642" spans="1:1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99"/>
    </row>
    <row r="643" spans="1:1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99"/>
    </row>
    <row r="644" spans="1:1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99"/>
    </row>
    <row r="645" spans="1:1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99"/>
    </row>
    <row r="646" spans="1:1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99"/>
    </row>
    <row r="647" spans="1:1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99"/>
    </row>
    <row r="648" spans="1:1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99"/>
    </row>
    <row r="649" spans="1:1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99"/>
    </row>
    <row r="650" spans="1:1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99"/>
    </row>
    <row r="651" spans="1:1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99"/>
    </row>
    <row r="652" spans="1:1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99"/>
    </row>
    <row r="653" spans="1:1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99"/>
    </row>
    <row r="654" spans="1:1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99"/>
    </row>
    <row r="655" spans="1:1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99"/>
    </row>
    <row r="656" spans="1:1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99"/>
    </row>
    <row r="657" spans="1:1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99"/>
    </row>
    <row r="658" spans="1:1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99"/>
    </row>
    <row r="659" spans="1:1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99"/>
    </row>
    <row r="660" spans="1:1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99"/>
    </row>
    <row r="661" spans="1:1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99"/>
    </row>
    <row r="662" spans="1:1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99"/>
    </row>
    <row r="663" spans="1:1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99"/>
    </row>
    <row r="664" spans="1:1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99"/>
    </row>
    <row r="665" spans="1:1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99"/>
    </row>
    <row r="666" spans="1:1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99"/>
    </row>
    <row r="667" spans="1:1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99"/>
    </row>
    <row r="668" spans="1:1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99"/>
    </row>
    <row r="669" spans="1:1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99"/>
    </row>
    <row r="670" spans="1:1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99"/>
    </row>
    <row r="671" spans="1:1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99"/>
    </row>
    <row r="672" spans="1:1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99"/>
    </row>
    <row r="673" spans="1:1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99"/>
    </row>
    <row r="674" spans="1:1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99"/>
    </row>
    <row r="675" spans="1:1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99"/>
    </row>
    <row r="676" spans="1:1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99"/>
    </row>
    <row r="677" spans="1:1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99"/>
    </row>
    <row r="678" spans="1:1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99"/>
    </row>
    <row r="679" spans="1:1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99"/>
    </row>
    <row r="680" spans="1:1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99"/>
    </row>
    <row r="681" spans="1:1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99"/>
    </row>
    <row r="682" spans="1:1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99"/>
    </row>
    <row r="683" spans="1:1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99"/>
    </row>
    <row r="684" spans="1:1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99"/>
    </row>
    <row r="685" spans="1:1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99"/>
    </row>
    <row r="686" spans="1:1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99"/>
    </row>
    <row r="687" spans="1:1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99"/>
    </row>
    <row r="688" spans="1:1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99"/>
    </row>
    <row r="689" spans="1:1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99"/>
    </row>
    <row r="690" spans="1:1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99"/>
    </row>
    <row r="691" spans="1:1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99"/>
    </row>
    <row r="692" spans="1:1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99"/>
    </row>
    <row r="693" spans="1:1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99"/>
    </row>
    <row r="694" spans="1:1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99"/>
    </row>
    <row r="695" spans="1:1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99"/>
    </row>
    <row r="696" spans="1:1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99"/>
    </row>
    <row r="697" spans="1:1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99"/>
    </row>
    <row r="698" spans="1:1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99"/>
    </row>
    <row r="699" spans="1:1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99"/>
    </row>
    <row r="700" spans="1:1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99"/>
    </row>
    <row r="701" spans="1:1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99"/>
    </row>
    <row r="702" spans="1:1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99"/>
    </row>
    <row r="703" spans="1:1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99"/>
    </row>
    <row r="704" spans="1:1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99"/>
    </row>
    <row r="705" spans="1:1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99"/>
    </row>
    <row r="706" spans="1:1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99"/>
    </row>
    <row r="707" spans="1:1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99"/>
    </row>
    <row r="708" spans="1:1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99"/>
    </row>
    <row r="709" spans="1:1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99"/>
    </row>
    <row r="710" spans="1:1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99"/>
    </row>
    <row r="711" spans="1:1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99"/>
    </row>
    <row r="712" spans="1:1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99"/>
    </row>
    <row r="713" spans="1:1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99"/>
    </row>
    <row r="714" spans="1:1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99"/>
    </row>
    <row r="715" spans="1:1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99"/>
    </row>
    <row r="716" spans="1:1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99"/>
    </row>
    <row r="717" spans="1:1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99"/>
    </row>
    <row r="718" spans="1:1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99"/>
    </row>
    <row r="719" spans="1:1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99"/>
    </row>
    <row r="720" spans="1:1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99"/>
    </row>
    <row r="721" spans="1:1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99"/>
    </row>
    <row r="722" spans="1:1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99"/>
    </row>
    <row r="723" spans="1:1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99"/>
    </row>
    <row r="724" spans="1:1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99"/>
    </row>
    <row r="725" spans="1:1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99"/>
    </row>
    <row r="726" spans="1:1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99"/>
    </row>
    <row r="727" spans="1:1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99"/>
    </row>
    <row r="728" spans="1:1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99"/>
    </row>
    <row r="729" spans="1:1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99"/>
    </row>
    <row r="730" spans="1:1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99"/>
    </row>
    <row r="731" spans="1:1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99"/>
    </row>
    <row r="732" spans="1:1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99"/>
    </row>
    <row r="733" spans="1:1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99"/>
    </row>
    <row r="734" spans="1:1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99"/>
    </row>
    <row r="735" spans="1:1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99"/>
    </row>
    <row r="736" spans="1:1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99"/>
    </row>
    <row r="737" spans="1:1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99"/>
    </row>
    <row r="738" spans="1:1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99"/>
    </row>
    <row r="739" spans="1:1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99"/>
    </row>
    <row r="740" spans="1:1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99"/>
    </row>
    <row r="741" spans="1:1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99"/>
    </row>
    <row r="742" spans="1:1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99"/>
    </row>
    <row r="743" spans="1:1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99"/>
    </row>
    <row r="744" spans="1:1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99"/>
    </row>
    <row r="745" spans="1:1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99"/>
    </row>
    <row r="746" spans="1:1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99"/>
    </row>
    <row r="747" spans="1:1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99"/>
    </row>
    <row r="748" spans="1:1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99"/>
    </row>
    <row r="749" spans="1:1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99"/>
    </row>
    <row r="750" spans="1:1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99"/>
    </row>
    <row r="751" spans="1:1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99"/>
    </row>
    <row r="752" spans="1:1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99"/>
    </row>
    <row r="753" spans="1:1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99"/>
    </row>
    <row r="754" spans="1:1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99"/>
    </row>
    <row r="755" spans="1:1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99"/>
    </row>
    <row r="756" spans="1:1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99"/>
    </row>
    <row r="757" spans="1:1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99"/>
    </row>
    <row r="758" spans="1:1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99"/>
    </row>
    <row r="759" spans="1:1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99"/>
    </row>
    <row r="760" spans="1:1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99"/>
    </row>
    <row r="761" spans="1:1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99"/>
    </row>
    <row r="762" spans="1:1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99"/>
    </row>
    <row r="763" spans="1:1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99"/>
    </row>
    <row r="764" spans="1:1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99"/>
    </row>
    <row r="765" spans="1:1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99"/>
    </row>
    <row r="766" spans="1:1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99"/>
    </row>
    <row r="767" spans="1:1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99"/>
    </row>
    <row r="768" spans="1:1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99"/>
    </row>
    <row r="769" spans="1:1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99"/>
    </row>
    <row r="770" spans="1:1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99"/>
    </row>
    <row r="771" spans="1:1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99"/>
    </row>
    <row r="772" spans="1:1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99"/>
    </row>
    <row r="773" spans="1:1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99"/>
    </row>
    <row r="774" spans="1:15" x14ac:dyDescent="0.25">
      <c r="O774" s="99"/>
    </row>
    <row r="775" spans="1:15" x14ac:dyDescent="0.25">
      <c r="O775" s="99"/>
    </row>
    <row r="776" spans="1:15" x14ac:dyDescent="0.25">
      <c r="O776" s="99"/>
    </row>
    <row r="777" spans="1:15" x14ac:dyDescent="0.25">
      <c r="O777" s="99"/>
    </row>
    <row r="778" spans="1:15" x14ac:dyDescent="0.25">
      <c r="O778" s="99"/>
    </row>
    <row r="779" spans="1:15" x14ac:dyDescent="0.25">
      <c r="O779" s="99"/>
    </row>
    <row r="780" spans="1:15" x14ac:dyDescent="0.25">
      <c r="O780" s="99"/>
    </row>
    <row r="781" spans="1:15" x14ac:dyDescent="0.25">
      <c r="O781" s="99"/>
    </row>
    <row r="782" spans="1:15" x14ac:dyDescent="0.25">
      <c r="O782" s="99"/>
    </row>
    <row r="783" spans="1:15" x14ac:dyDescent="0.25">
      <c r="O783" s="99"/>
    </row>
    <row r="784" spans="1:15" x14ac:dyDescent="0.25">
      <c r="O784" s="99"/>
    </row>
    <row r="785" spans="15:15" x14ac:dyDescent="0.25">
      <c r="O785" s="99"/>
    </row>
    <row r="786" spans="15:15" x14ac:dyDescent="0.25">
      <c r="O786" s="99"/>
    </row>
    <row r="787" spans="15:15" x14ac:dyDescent="0.25">
      <c r="O787" s="99"/>
    </row>
    <row r="788" spans="15:15" x14ac:dyDescent="0.25">
      <c r="O788" s="99"/>
    </row>
    <row r="789" spans="15:15" x14ac:dyDescent="0.25">
      <c r="O789" s="99"/>
    </row>
    <row r="790" spans="15:15" x14ac:dyDescent="0.25">
      <c r="O790" s="99"/>
    </row>
    <row r="791" spans="15:15" x14ac:dyDescent="0.25">
      <c r="O791" s="99"/>
    </row>
    <row r="792" spans="15:15" x14ac:dyDescent="0.25">
      <c r="O792" s="99"/>
    </row>
    <row r="793" spans="15:15" x14ac:dyDescent="0.25">
      <c r="O793" s="99"/>
    </row>
    <row r="794" spans="15:15" x14ac:dyDescent="0.25">
      <c r="O794" s="99"/>
    </row>
    <row r="795" spans="15:15" x14ac:dyDescent="0.25">
      <c r="O795" s="99"/>
    </row>
    <row r="796" spans="15:15" x14ac:dyDescent="0.25">
      <c r="O796" s="99"/>
    </row>
    <row r="797" spans="15:15" x14ac:dyDescent="0.25">
      <c r="O797" s="99"/>
    </row>
    <row r="798" spans="15:15" x14ac:dyDescent="0.25">
      <c r="O798" s="99"/>
    </row>
    <row r="799" spans="15:15" x14ac:dyDescent="0.25">
      <c r="O799" s="99"/>
    </row>
    <row r="800" spans="15:15" x14ac:dyDescent="0.25">
      <c r="O800" s="99"/>
    </row>
    <row r="801" spans="15:15" x14ac:dyDescent="0.25">
      <c r="O801" s="99"/>
    </row>
    <row r="802" spans="15:15" x14ac:dyDescent="0.25">
      <c r="O802" s="99"/>
    </row>
    <row r="803" spans="15:15" x14ac:dyDescent="0.25">
      <c r="O803" s="99"/>
    </row>
    <row r="804" spans="15:15" x14ac:dyDescent="0.25">
      <c r="O804" s="99"/>
    </row>
    <row r="805" spans="15:15" x14ac:dyDescent="0.25">
      <c r="O805" s="99"/>
    </row>
    <row r="806" spans="15:15" x14ac:dyDescent="0.25">
      <c r="O806" s="99"/>
    </row>
    <row r="807" spans="15:15" x14ac:dyDescent="0.25">
      <c r="O807" s="99"/>
    </row>
    <row r="808" spans="15:15" x14ac:dyDescent="0.25">
      <c r="O808" s="99"/>
    </row>
    <row r="809" spans="15:15" x14ac:dyDescent="0.25">
      <c r="O809" s="99"/>
    </row>
    <row r="810" spans="15:15" x14ac:dyDescent="0.25">
      <c r="O810" s="99"/>
    </row>
    <row r="811" spans="15:15" x14ac:dyDescent="0.25">
      <c r="O811" s="99"/>
    </row>
    <row r="812" spans="15:15" x14ac:dyDescent="0.25">
      <c r="O812" s="99"/>
    </row>
    <row r="813" spans="15:15" x14ac:dyDescent="0.25">
      <c r="O813" s="99"/>
    </row>
    <row r="814" spans="15:15" x14ac:dyDescent="0.25">
      <c r="O814" s="99"/>
    </row>
    <row r="815" spans="15:15" x14ac:dyDescent="0.25">
      <c r="O815" s="99"/>
    </row>
    <row r="816" spans="15:15" x14ac:dyDescent="0.25">
      <c r="O816" s="99"/>
    </row>
    <row r="817" spans="15:15" x14ac:dyDescent="0.25">
      <c r="O817" s="99"/>
    </row>
    <row r="818" spans="15:15" x14ac:dyDescent="0.25">
      <c r="O818" s="99"/>
    </row>
    <row r="819" spans="15:15" x14ac:dyDescent="0.25">
      <c r="O819" s="99"/>
    </row>
    <row r="820" spans="15:15" x14ac:dyDescent="0.25">
      <c r="O820" s="99"/>
    </row>
    <row r="821" spans="15:15" x14ac:dyDescent="0.25">
      <c r="O821" s="99"/>
    </row>
    <row r="822" spans="15:15" x14ac:dyDescent="0.25">
      <c r="O822" s="99"/>
    </row>
    <row r="823" spans="15:15" x14ac:dyDescent="0.25">
      <c r="O823" s="99"/>
    </row>
    <row r="824" spans="15:15" x14ac:dyDescent="0.25">
      <c r="O824" s="99"/>
    </row>
    <row r="825" spans="15:15" x14ac:dyDescent="0.25">
      <c r="O825" s="99"/>
    </row>
    <row r="826" spans="15:15" x14ac:dyDescent="0.25">
      <c r="O826" s="99"/>
    </row>
    <row r="827" spans="15:15" x14ac:dyDescent="0.25">
      <c r="O827" s="99"/>
    </row>
    <row r="828" spans="15:15" x14ac:dyDescent="0.25">
      <c r="O828" s="99"/>
    </row>
    <row r="829" spans="15:15" x14ac:dyDescent="0.25">
      <c r="O829" s="99"/>
    </row>
    <row r="830" spans="15:15" x14ac:dyDescent="0.25">
      <c r="O830" s="99"/>
    </row>
    <row r="831" spans="15:15" x14ac:dyDescent="0.25">
      <c r="O831" s="99"/>
    </row>
    <row r="832" spans="15:15" x14ac:dyDescent="0.25">
      <c r="O832" s="99"/>
    </row>
    <row r="833" spans="15:15" x14ac:dyDescent="0.25">
      <c r="O833" s="99"/>
    </row>
    <row r="834" spans="15:15" x14ac:dyDescent="0.25">
      <c r="O834" s="99"/>
    </row>
    <row r="835" spans="15:15" x14ac:dyDescent="0.25">
      <c r="O835" s="99"/>
    </row>
    <row r="836" spans="15:15" x14ac:dyDescent="0.25">
      <c r="O836" s="99"/>
    </row>
    <row r="837" spans="15:15" x14ac:dyDescent="0.25">
      <c r="O837" s="99"/>
    </row>
    <row r="838" spans="15:15" x14ac:dyDescent="0.25">
      <c r="O838" s="99"/>
    </row>
    <row r="839" spans="15:15" x14ac:dyDescent="0.25">
      <c r="O839" s="99"/>
    </row>
    <row r="840" spans="15:15" x14ac:dyDescent="0.25">
      <c r="O840" s="99"/>
    </row>
    <row r="841" spans="15:15" x14ac:dyDescent="0.25">
      <c r="O841" s="99"/>
    </row>
    <row r="842" spans="15:15" x14ac:dyDescent="0.25">
      <c r="O842" s="99"/>
    </row>
    <row r="843" spans="15:15" x14ac:dyDescent="0.25">
      <c r="O843" s="99"/>
    </row>
    <row r="844" spans="15:15" x14ac:dyDescent="0.25">
      <c r="O844" s="99"/>
    </row>
    <row r="845" spans="15:15" x14ac:dyDescent="0.25">
      <c r="O845" s="99"/>
    </row>
    <row r="846" spans="15:15" x14ac:dyDescent="0.25">
      <c r="O846" s="99"/>
    </row>
    <row r="847" spans="15:15" x14ac:dyDescent="0.25">
      <c r="O847" s="99"/>
    </row>
    <row r="848" spans="15:15" x14ac:dyDescent="0.25">
      <c r="O848" s="99"/>
    </row>
    <row r="849" spans="15:15" x14ac:dyDescent="0.25">
      <c r="O849" s="99"/>
    </row>
    <row r="850" spans="15:15" x14ac:dyDescent="0.25">
      <c r="O850" s="99"/>
    </row>
    <row r="851" spans="15:15" x14ac:dyDescent="0.25">
      <c r="O851" s="99"/>
    </row>
    <row r="852" spans="15:15" x14ac:dyDescent="0.25">
      <c r="O852" s="99"/>
    </row>
    <row r="853" spans="15:15" x14ac:dyDescent="0.25">
      <c r="O853" s="99"/>
    </row>
    <row r="854" spans="15:15" x14ac:dyDescent="0.25">
      <c r="O854" s="99"/>
    </row>
    <row r="855" spans="15:15" x14ac:dyDescent="0.25">
      <c r="O855" s="99"/>
    </row>
    <row r="856" spans="15:15" x14ac:dyDescent="0.25">
      <c r="O856" s="99"/>
    </row>
    <row r="857" spans="15:15" x14ac:dyDescent="0.25">
      <c r="O857" s="99"/>
    </row>
    <row r="858" spans="15:15" x14ac:dyDescent="0.25">
      <c r="O858" s="99"/>
    </row>
    <row r="859" spans="15:15" x14ac:dyDescent="0.25">
      <c r="O859" s="99"/>
    </row>
    <row r="860" spans="15:15" x14ac:dyDescent="0.25">
      <c r="O860" s="99"/>
    </row>
    <row r="861" spans="15:15" x14ac:dyDescent="0.25">
      <c r="O861" s="99"/>
    </row>
    <row r="862" spans="15:15" x14ac:dyDescent="0.25">
      <c r="O862" s="99"/>
    </row>
    <row r="863" spans="15:15" x14ac:dyDescent="0.25">
      <c r="O863" s="99"/>
    </row>
    <row r="864" spans="15:15" x14ac:dyDescent="0.25">
      <c r="O864" s="99"/>
    </row>
    <row r="865" spans="15:15" x14ac:dyDescent="0.25">
      <c r="O865" s="99"/>
    </row>
    <row r="866" spans="15:15" x14ac:dyDescent="0.25">
      <c r="O866" s="99"/>
    </row>
    <row r="867" spans="15:15" x14ac:dyDescent="0.25">
      <c r="O867" s="99"/>
    </row>
    <row r="868" spans="15:15" x14ac:dyDescent="0.25">
      <c r="O868" s="99"/>
    </row>
    <row r="869" spans="15:15" x14ac:dyDescent="0.25">
      <c r="O869" s="99"/>
    </row>
    <row r="870" spans="15:15" x14ac:dyDescent="0.25">
      <c r="O870" s="99"/>
    </row>
    <row r="871" spans="15:15" x14ac:dyDescent="0.25">
      <c r="O871" s="99"/>
    </row>
    <row r="872" spans="15:15" x14ac:dyDescent="0.25">
      <c r="O872" s="99"/>
    </row>
    <row r="873" spans="15:15" x14ac:dyDescent="0.25">
      <c r="O873" s="99"/>
    </row>
    <row r="874" spans="15:15" x14ac:dyDescent="0.25">
      <c r="O874" s="99"/>
    </row>
    <row r="875" spans="15:15" x14ac:dyDescent="0.25">
      <c r="O875" s="99"/>
    </row>
    <row r="876" spans="15:15" x14ac:dyDescent="0.25">
      <c r="O876" s="99"/>
    </row>
    <row r="877" spans="15:15" x14ac:dyDescent="0.25">
      <c r="O877" s="99"/>
    </row>
    <row r="878" spans="15:15" x14ac:dyDescent="0.25">
      <c r="O878" s="99"/>
    </row>
    <row r="879" spans="15:15" x14ac:dyDescent="0.25">
      <c r="O879" s="99"/>
    </row>
    <row r="880" spans="15:15" x14ac:dyDescent="0.25">
      <c r="O880" s="99"/>
    </row>
    <row r="881" spans="15:15" x14ac:dyDescent="0.25">
      <c r="O881" s="99"/>
    </row>
    <row r="882" spans="15:15" x14ac:dyDescent="0.25">
      <c r="O882" s="99"/>
    </row>
    <row r="883" spans="15:15" x14ac:dyDescent="0.25">
      <c r="O883" s="99"/>
    </row>
    <row r="884" spans="15:15" x14ac:dyDescent="0.25">
      <c r="O884" s="99"/>
    </row>
    <row r="885" spans="15:15" x14ac:dyDescent="0.25">
      <c r="O885" s="99"/>
    </row>
    <row r="886" spans="15:15" x14ac:dyDescent="0.25">
      <c r="O886" s="99"/>
    </row>
    <row r="887" spans="15:15" x14ac:dyDescent="0.25">
      <c r="O887" s="99"/>
    </row>
    <row r="888" spans="15:15" x14ac:dyDescent="0.25">
      <c r="O888" s="99"/>
    </row>
    <row r="889" spans="15:15" x14ac:dyDescent="0.25">
      <c r="O889" s="99"/>
    </row>
    <row r="890" spans="15:15" x14ac:dyDescent="0.25">
      <c r="O890" s="99"/>
    </row>
    <row r="891" spans="15:15" x14ac:dyDescent="0.25">
      <c r="O891" s="99"/>
    </row>
    <row r="892" spans="15:15" x14ac:dyDescent="0.25">
      <c r="O892" s="99"/>
    </row>
    <row r="893" spans="15:15" x14ac:dyDescent="0.25">
      <c r="O893" s="99"/>
    </row>
    <row r="894" spans="15:15" x14ac:dyDescent="0.25">
      <c r="O894" s="99"/>
    </row>
    <row r="895" spans="15:15" x14ac:dyDescent="0.25">
      <c r="O895" s="99"/>
    </row>
    <row r="896" spans="15:15" x14ac:dyDescent="0.25">
      <c r="O896" s="99"/>
    </row>
    <row r="897" spans="15:15" x14ac:dyDescent="0.25">
      <c r="O897" s="99"/>
    </row>
    <row r="898" spans="15:15" x14ac:dyDescent="0.25">
      <c r="O898" s="99"/>
    </row>
    <row r="899" spans="15:15" x14ac:dyDescent="0.25">
      <c r="O899" s="99"/>
    </row>
    <row r="900" spans="15:15" x14ac:dyDescent="0.25">
      <c r="O900" s="99"/>
    </row>
    <row r="901" spans="15:15" x14ac:dyDescent="0.25">
      <c r="O901" s="99"/>
    </row>
    <row r="902" spans="15:15" x14ac:dyDescent="0.25">
      <c r="O902" s="99"/>
    </row>
    <row r="903" spans="15:15" x14ac:dyDescent="0.25">
      <c r="O903" s="99"/>
    </row>
    <row r="904" spans="15:15" x14ac:dyDescent="0.25">
      <c r="O904" s="99"/>
    </row>
    <row r="905" spans="15:15" x14ac:dyDescent="0.25">
      <c r="O905" s="99"/>
    </row>
    <row r="906" spans="15:15" x14ac:dyDescent="0.25">
      <c r="O906" s="99"/>
    </row>
    <row r="907" spans="15:15" x14ac:dyDescent="0.25">
      <c r="O907" s="99"/>
    </row>
    <row r="908" spans="15:15" x14ac:dyDescent="0.25">
      <c r="O908" s="99"/>
    </row>
    <row r="909" spans="15:15" x14ac:dyDescent="0.25">
      <c r="O909" s="99"/>
    </row>
    <row r="910" spans="15:15" x14ac:dyDescent="0.25">
      <c r="O910" s="99"/>
    </row>
    <row r="911" spans="15:15" x14ac:dyDescent="0.25">
      <c r="O911" s="99"/>
    </row>
    <row r="912" spans="15:15" x14ac:dyDescent="0.25">
      <c r="O912" s="99"/>
    </row>
    <row r="913" spans="15:15" x14ac:dyDescent="0.25">
      <c r="O913" s="99"/>
    </row>
    <row r="914" spans="15:15" x14ac:dyDescent="0.25">
      <c r="O914" s="99"/>
    </row>
    <row r="915" spans="15:15" x14ac:dyDescent="0.25">
      <c r="O915" s="99"/>
    </row>
    <row r="916" spans="15:15" x14ac:dyDescent="0.25">
      <c r="O916" s="99"/>
    </row>
    <row r="917" spans="15:15" x14ac:dyDescent="0.25">
      <c r="O917" s="99"/>
    </row>
    <row r="918" spans="15:15" x14ac:dyDescent="0.25">
      <c r="O918" s="99"/>
    </row>
    <row r="919" spans="15:15" x14ac:dyDescent="0.25">
      <c r="O919" s="99"/>
    </row>
    <row r="920" spans="15:15" x14ac:dyDescent="0.25">
      <c r="O920" s="99"/>
    </row>
    <row r="921" spans="15:15" x14ac:dyDescent="0.25">
      <c r="O921" s="99"/>
    </row>
    <row r="922" spans="15:15" x14ac:dyDescent="0.25">
      <c r="O922" s="99"/>
    </row>
    <row r="923" spans="15:15" x14ac:dyDescent="0.25">
      <c r="O923" s="99"/>
    </row>
    <row r="924" spans="15:15" x14ac:dyDescent="0.25">
      <c r="O924" s="99"/>
    </row>
    <row r="925" spans="15:15" x14ac:dyDescent="0.25">
      <c r="O925" s="99"/>
    </row>
    <row r="926" spans="15:15" x14ac:dyDescent="0.25">
      <c r="O926" s="99"/>
    </row>
    <row r="927" spans="15:15" x14ac:dyDescent="0.25">
      <c r="O927" s="99"/>
    </row>
    <row r="928" spans="15:15" x14ac:dyDescent="0.25">
      <c r="O928" s="99"/>
    </row>
    <row r="929" spans="15:15" x14ac:dyDescent="0.25">
      <c r="O929" s="99"/>
    </row>
    <row r="930" spans="15:15" x14ac:dyDescent="0.25">
      <c r="O930" s="99"/>
    </row>
    <row r="931" spans="15:15" x14ac:dyDescent="0.25">
      <c r="O931" s="99"/>
    </row>
    <row r="932" spans="15:15" x14ac:dyDescent="0.25">
      <c r="O932" s="99"/>
    </row>
    <row r="933" spans="15:15" x14ac:dyDescent="0.25">
      <c r="O933" s="99"/>
    </row>
    <row r="934" spans="15:15" x14ac:dyDescent="0.25">
      <c r="O934" s="99"/>
    </row>
    <row r="935" spans="15:15" x14ac:dyDescent="0.25">
      <c r="O935" s="99"/>
    </row>
    <row r="936" spans="15:15" x14ac:dyDescent="0.25">
      <c r="O936" s="99"/>
    </row>
    <row r="937" spans="15:15" x14ac:dyDescent="0.25">
      <c r="O937" s="99"/>
    </row>
    <row r="938" spans="15:15" x14ac:dyDescent="0.25">
      <c r="O938" s="99"/>
    </row>
    <row r="939" spans="15:15" x14ac:dyDescent="0.25">
      <c r="O939" s="99"/>
    </row>
    <row r="940" spans="15:15" x14ac:dyDescent="0.25">
      <c r="O940" s="99"/>
    </row>
    <row r="941" spans="15:15" x14ac:dyDescent="0.25">
      <c r="O941" s="99"/>
    </row>
    <row r="942" spans="15:15" x14ac:dyDescent="0.25">
      <c r="O942" s="99"/>
    </row>
    <row r="943" spans="15:15" x14ac:dyDescent="0.25">
      <c r="O943" s="99"/>
    </row>
    <row r="944" spans="15:15" x14ac:dyDescent="0.25">
      <c r="O944" s="99"/>
    </row>
    <row r="945" spans="15:15" x14ac:dyDescent="0.25">
      <c r="O945" s="99"/>
    </row>
    <row r="946" spans="15:15" x14ac:dyDescent="0.25">
      <c r="O946" s="99"/>
    </row>
    <row r="947" spans="15:15" x14ac:dyDescent="0.25">
      <c r="O947" s="99"/>
    </row>
    <row r="948" spans="15:15" x14ac:dyDescent="0.25">
      <c r="O948" s="99"/>
    </row>
    <row r="949" spans="15:15" x14ac:dyDescent="0.25">
      <c r="O949" s="99"/>
    </row>
    <row r="950" spans="15:15" x14ac:dyDescent="0.25">
      <c r="O950" s="99"/>
    </row>
    <row r="951" spans="15:15" x14ac:dyDescent="0.25">
      <c r="O951" s="99"/>
    </row>
    <row r="952" spans="15:15" x14ac:dyDescent="0.25">
      <c r="O952" s="99"/>
    </row>
    <row r="953" spans="15:15" x14ac:dyDescent="0.25">
      <c r="O953" s="99"/>
    </row>
    <row r="954" spans="15:15" x14ac:dyDescent="0.25">
      <c r="O954" s="99"/>
    </row>
    <row r="955" spans="15:15" x14ac:dyDescent="0.25">
      <c r="O955" s="99"/>
    </row>
    <row r="956" spans="15:15" x14ac:dyDescent="0.25">
      <c r="O956" s="99"/>
    </row>
    <row r="957" spans="15:15" x14ac:dyDescent="0.25">
      <c r="O957" s="99"/>
    </row>
    <row r="958" spans="15:15" x14ac:dyDescent="0.25">
      <c r="O958" s="99"/>
    </row>
    <row r="959" spans="15:15" x14ac:dyDescent="0.25">
      <c r="O959" s="99"/>
    </row>
    <row r="960" spans="15:15" x14ac:dyDescent="0.25">
      <c r="O960" s="99"/>
    </row>
    <row r="961" spans="15:15" x14ac:dyDescent="0.25">
      <c r="O961" s="99"/>
    </row>
    <row r="962" spans="15:15" x14ac:dyDescent="0.25">
      <c r="O962" s="99"/>
    </row>
    <row r="963" spans="15:15" x14ac:dyDescent="0.25">
      <c r="O963" s="99"/>
    </row>
    <row r="964" spans="15:15" x14ac:dyDescent="0.25">
      <c r="O964" s="99"/>
    </row>
    <row r="965" spans="15:15" x14ac:dyDescent="0.25">
      <c r="O965" s="99"/>
    </row>
    <row r="966" spans="15:15" x14ac:dyDescent="0.25">
      <c r="O966" s="99"/>
    </row>
    <row r="967" spans="15:15" x14ac:dyDescent="0.25">
      <c r="O967" s="99"/>
    </row>
    <row r="968" spans="15:15" x14ac:dyDescent="0.25">
      <c r="O968" s="99"/>
    </row>
    <row r="969" spans="15:15" x14ac:dyDescent="0.25">
      <c r="O969" s="99"/>
    </row>
    <row r="970" spans="15:15" x14ac:dyDescent="0.25">
      <c r="O970" s="99"/>
    </row>
    <row r="971" spans="15:15" x14ac:dyDescent="0.25">
      <c r="O971" s="99"/>
    </row>
    <row r="972" spans="15:15" x14ac:dyDescent="0.25">
      <c r="O972" s="99"/>
    </row>
    <row r="973" spans="15:15" x14ac:dyDescent="0.25">
      <c r="O973" s="99"/>
    </row>
    <row r="974" spans="15:15" x14ac:dyDescent="0.25">
      <c r="O974" s="99"/>
    </row>
    <row r="975" spans="15:15" x14ac:dyDescent="0.25">
      <c r="O975" s="99"/>
    </row>
    <row r="976" spans="15:15" x14ac:dyDescent="0.25">
      <c r="O976" s="99"/>
    </row>
    <row r="977" spans="15:15" x14ac:dyDescent="0.25">
      <c r="O977" s="99"/>
    </row>
    <row r="978" spans="15:15" x14ac:dyDescent="0.25">
      <c r="O978" s="99"/>
    </row>
    <row r="979" spans="15:15" x14ac:dyDescent="0.25">
      <c r="O979" s="99"/>
    </row>
    <row r="980" spans="15:15" x14ac:dyDescent="0.25">
      <c r="O980" s="99"/>
    </row>
    <row r="981" spans="15:15" x14ac:dyDescent="0.25">
      <c r="O981" s="99"/>
    </row>
    <row r="982" spans="15:15" x14ac:dyDescent="0.25">
      <c r="O982" s="99"/>
    </row>
    <row r="983" spans="15:15" x14ac:dyDescent="0.25">
      <c r="O983" s="99"/>
    </row>
    <row r="984" spans="15:15" x14ac:dyDescent="0.25">
      <c r="O984" s="99"/>
    </row>
    <row r="985" spans="15:15" x14ac:dyDescent="0.25">
      <c r="O985" s="99"/>
    </row>
    <row r="986" spans="15:15" x14ac:dyDescent="0.25">
      <c r="O986" s="99"/>
    </row>
    <row r="987" spans="15:15" x14ac:dyDescent="0.25">
      <c r="O987" s="99"/>
    </row>
    <row r="988" spans="15:15" x14ac:dyDescent="0.25">
      <c r="O988" s="99"/>
    </row>
    <row r="989" spans="15:15" x14ac:dyDescent="0.25">
      <c r="O989" s="99"/>
    </row>
    <row r="990" spans="15:15" x14ac:dyDescent="0.25">
      <c r="O990" s="99"/>
    </row>
    <row r="991" spans="15:15" x14ac:dyDescent="0.25">
      <c r="O991" s="99"/>
    </row>
    <row r="992" spans="15:15" x14ac:dyDescent="0.25">
      <c r="O992" s="99"/>
    </row>
    <row r="993" spans="15:15" x14ac:dyDescent="0.25">
      <c r="O993" s="99"/>
    </row>
    <row r="994" spans="15:15" x14ac:dyDescent="0.25">
      <c r="O994" s="99"/>
    </row>
    <row r="995" spans="15:15" x14ac:dyDescent="0.25">
      <c r="O995" s="99"/>
    </row>
    <row r="996" spans="15:15" x14ac:dyDescent="0.25">
      <c r="O996" s="99"/>
    </row>
    <row r="997" spans="15:15" x14ac:dyDescent="0.25">
      <c r="O997" s="99"/>
    </row>
    <row r="998" spans="15:15" x14ac:dyDescent="0.25">
      <c r="O998" s="99"/>
    </row>
    <row r="999" spans="15:15" x14ac:dyDescent="0.25">
      <c r="O999" s="99"/>
    </row>
    <row r="1000" spans="15:15" x14ac:dyDescent="0.25">
      <c r="O1000" s="99"/>
    </row>
    <row r="1001" spans="15:15" x14ac:dyDescent="0.25">
      <c r="O1001" s="99"/>
    </row>
    <row r="1002" spans="15:15" x14ac:dyDescent="0.25">
      <c r="O1002" s="99"/>
    </row>
    <row r="1003" spans="15:15" x14ac:dyDescent="0.25">
      <c r="O1003" s="99"/>
    </row>
    <row r="1004" spans="15:15" x14ac:dyDescent="0.25">
      <c r="O1004" s="99"/>
    </row>
    <row r="1005" spans="15:15" x14ac:dyDescent="0.25">
      <c r="O1005" s="99"/>
    </row>
    <row r="1006" spans="15:15" x14ac:dyDescent="0.25">
      <c r="O1006" s="99"/>
    </row>
    <row r="1007" spans="15:15" x14ac:dyDescent="0.25">
      <c r="O1007" s="99"/>
    </row>
    <row r="1008" spans="15:15" x14ac:dyDescent="0.25">
      <c r="O1008" s="99"/>
    </row>
    <row r="1009" spans="15:15" x14ac:dyDescent="0.25">
      <c r="O1009" s="99"/>
    </row>
    <row r="1010" spans="15:15" x14ac:dyDescent="0.25">
      <c r="O1010" s="99"/>
    </row>
    <row r="1011" spans="15:15" x14ac:dyDescent="0.25">
      <c r="O1011" s="99"/>
    </row>
    <row r="1012" spans="15:15" x14ac:dyDescent="0.25">
      <c r="O1012" s="99"/>
    </row>
    <row r="1013" spans="15:15" x14ac:dyDescent="0.25">
      <c r="O1013" s="99"/>
    </row>
    <row r="1014" spans="15:15" x14ac:dyDescent="0.25">
      <c r="O1014" s="99"/>
    </row>
    <row r="1015" spans="15:15" x14ac:dyDescent="0.25">
      <c r="O1015" s="99"/>
    </row>
    <row r="1016" spans="15:15" x14ac:dyDescent="0.25">
      <c r="O1016" s="99"/>
    </row>
    <row r="1017" spans="15:15" x14ac:dyDescent="0.25">
      <c r="O1017" s="99"/>
    </row>
    <row r="1018" spans="15:15" x14ac:dyDescent="0.25">
      <c r="O1018" s="99"/>
    </row>
    <row r="1019" spans="15:15" x14ac:dyDescent="0.25">
      <c r="O1019" s="99"/>
    </row>
    <row r="1020" spans="15:15" x14ac:dyDescent="0.25">
      <c r="O1020" s="99"/>
    </row>
    <row r="1021" spans="15:15" x14ac:dyDescent="0.25">
      <c r="O1021" s="99"/>
    </row>
    <row r="1022" spans="15:15" x14ac:dyDescent="0.25">
      <c r="O1022" s="99"/>
    </row>
    <row r="1023" spans="15:15" x14ac:dyDescent="0.25">
      <c r="O1023" s="99"/>
    </row>
    <row r="1024" spans="15:15" x14ac:dyDescent="0.25">
      <c r="O1024" s="99"/>
    </row>
    <row r="1025" spans="15:15" x14ac:dyDescent="0.25">
      <c r="O1025" s="99"/>
    </row>
    <row r="1026" spans="15:15" x14ac:dyDescent="0.25">
      <c r="O1026" s="99"/>
    </row>
    <row r="1027" spans="15:15" x14ac:dyDescent="0.25">
      <c r="O1027" s="99"/>
    </row>
    <row r="1028" spans="15:15" x14ac:dyDescent="0.25">
      <c r="O1028" s="99"/>
    </row>
    <row r="1029" spans="15:15" x14ac:dyDescent="0.25">
      <c r="O1029" s="99"/>
    </row>
    <row r="1030" spans="15:15" x14ac:dyDescent="0.25">
      <c r="O1030" s="99"/>
    </row>
    <row r="1031" spans="15:15" x14ac:dyDescent="0.25">
      <c r="O1031" s="99"/>
    </row>
    <row r="1032" spans="15:15" x14ac:dyDescent="0.25">
      <c r="O1032" s="99"/>
    </row>
    <row r="1033" spans="15:15" x14ac:dyDescent="0.25">
      <c r="O1033" s="99"/>
    </row>
    <row r="1034" spans="15:15" x14ac:dyDescent="0.25">
      <c r="O1034" s="99"/>
    </row>
    <row r="1035" spans="15:15" x14ac:dyDescent="0.25">
      <c r="O1035" s="99"/>
    </row>
    <row r="1036" spans="15:15" x14ac:dyDescent="0.25">
      <c r="O1036" s="99"/>
    </row>
    <row r="1037" spans="15:15" x14ac:dyDescent="0.25">
      <c r="O1037" s="99"/>
    </row>
    <row r="1038" spans="15:15" x14ac:dyDescent="0.25">
      <c r="O1038" s="99"/>
    </row>
    <row r="1039" spans="15:15" x14ac:dyDescent="0.25">
      <c r="O1039" s="99"/>
    </row>
    <row r="1040" spans="15:15" x14ac:dyDescent="0.25">
      <c r="O1040" s="99"/>
    </row>
    <row r="1041" spans="15:15" x14ac:dyDescent="0.25">
      <c r="O1041" s="99"/>
    </row>
    <row r="1042" spans="15:15" x14ac:dyDescent="0.25">
      <c r="O1042" s="99"/>
    </row>
    <row r="1043" spans="15:15" x14ac:dyDescent="0.25">
      <c r="O1043" s="99"/>
    </row>
    <row r="1044" spans="15:15" x14ac:dyDescent="0.25">
      <c r="O1044" s="99"/>
    </row>
    <row r="1045" spans="15:15" x14ac:dyDescent="0.25">
      <c r="O1045" s="99"/>
    </row>
    <row r="1046" spans="15:15" x14ac:dyDescent="0.25">
      <c r="O1046" s="99"/>
    </row>
    <row r="1047" spans="15:15" x14ac:dyDescent="0.25">
      <c r="O1047" s="99"/>
    </row>
    <row r="1048" spans="15:15" x14ac:dyDescent="0.25">
      <c r="O1048" s="99"/>
    </row>
    <row r="1049" spans="15:15" x14ac:dyDescent="0.25">
      <c r="O1049" s="99"/>
    </row>
    <row r="1050" spans="15:15" x14ac:dyDescent="0.25">
      <c r="O1050" s="99"/>
    </row>
    <row r="1051" spans="15:15" x14ac:dyDescent="0.25">
      <c r="O1051" s="99"/>
    </row>
    <row r="1052" spans="15:15" x14ac:dyDescent="0.25">
      <c r="O1052" s="99"/>
    </row>
    <row r="1053" spans="15:15" x14ac:dyDescent="0.25">
      <c r="O1053" s="99"/>
    </row>
    <row r="1054" spans="15:15" x14ac:dyDescent="0.25">
      <c r="O1054" s="99"/>
    </row>
    <row r="1055" spans="15:15" x14ac:dyDescent="0.25">
      <c r="O1055" s="99"/>
    </row>
    <row r="1056" spans="15:15" x14ac:dyDescent="0.25">
      <c r="O1056" s="99"/>
    </row>
    <row r="1057" spans="15:15" x14ac:dyDescent="0.25">
      <c r="O1057" s="99"/>
    </row>
    <row r="1058" spans="15:15" x14ac:dyDescent="0.25">
      <c r="O1058" s="99"/>
    </row>
    <row r="1059" spans="15:15" x14ac:dyDescent="0.25">
      <c r="O1059" s="99"/>
    </row>
    <row r="1060" spans="15:15" x14ac:dyDescent="0.25">
      <c r="O1060" s="99"/>
    </row>
    <row r="1061" spans="15:15" x14ac:dyDescent="0.25">
      <c r="O1061" s="99"/>
    </row>
    <row r="1062" spans="15:15" x14ac:dyDescent="0.25">
      <c r="O1062" s="99"/>
    </row>
    <row r="1063" spans="15:15" x14ac:dyDescent="0.25">
      <c r="O1063" s="99"/>
    </row>
    <row r="1064" spans="15:15" x14ac:dyDescent="0.25">
      <c r="O1064" s="99"/>
    </row>
    <row r="1065" spans="15:15" x14ac:dyDescent="0.25">
      <c r="O1065" s="99"/>
    </row>
    <row r="1066" spans="15:15" x14ac:dyDescent="0.25">
      <c r="O1066" s="99"/>
    </row>
    <row r="1067" spans="15:15" x14ac:dyDescent="0.25">
      <c r="O1067" s="99"/>
    </row>
    <row r="1068" spans="15:15" x14ac:dyDescent="0.25">
      <c r="O1068" s="99"/>
    </row>
    <row r="1069" spans="15:15" x14ac:dyDescent="0.25">
      <c r="O1069" s="99"/>
    </row>
    <row r="1070" spans="15:15" x14ac:dyDescent="0.25">
      <c r="O1070" s="99"/>
    </row>
    <row r="1071" spans="15:15" x14ac:dyDescent="0.25">
      <c r="O1071" s="99"/>
    </row>
    <row r="1072" spans="15:15" x14ac:dyDescent="0.25">
      <c r="O1072" s="99"/>
    </row>
    <row r="1073" spans="15:15" x14ac:dyDescent="0.25">
      <c r="O1073" s="99"/>
    </row>
    <row r="1074" spans="15:15" x14ac:dyDescent="0.25">
      <c r="O1074" s="99"/>
    </row>
    <row r="1075" spans="15:15" x14ac:dyDescent="0.25">
      <c r="O1075" s="99"/>
    </row>
    <row r="1076" spans="15:15" x14ac:dyDescent="0.25">
      <c r="O1076" s="99"/>
    </row>
    <row r="1077" spans="15:15" x14ac:dyDescent="0.25">
      <c r="O1077" s="99"/>
    </row>
    <row r="1078" spans="15:15" x14ac:dyDescent="0.25">
      <c r="O1078" s="99"/>
    </row>
    <row r="1079" spans="15:15" x14ac:dyDescent="0.25">
      <c r="O1079" s="99"/>
    </row>
    <row r="1080" spans="15:15" x14ac:dyDescent="0.25">
      <c r="O1080" s="99"/>
    </row>
    <row r="1081" spans="15:15" x14ac:dyDescent="0.25">
      <c r="O1081" s="99"/>
    </row>
    <row r="1082" spans="15:15" x14ac:dyDescent="0.25">
      <c r="O1082" s="99"/>
    </row>
    <row r="1083" spans="15:15" x14ac:dyDescent="0.25">
      <c r="O1083" s="99"/>
    </row>
    <row r="1084" spans="15:15" x14ac:dyDescent="0.25">
      <c r="O1084" s="99"/>
    </row>
    <row r="1085" spans="15:15" x14ac:dyDescent="0.25">
      <c r="O1085" s="99"/>
    </row>
    <row r="1086" spans="15:15" x14ac:dyDescent="0.25">
      <c r="O1086" s="99"/>
    </row>
    <row r="1087" spans="15:15" x14ac:dyDescent="0.25">
      <c r="O1087" s="99"/>
    </row>
    <row r="1088" spans="15:15" x14ac:dyDescent="0.25">
      <c r="O1088" s="99"/>
    </row>
    <row r="1089" spans="15:15" x14ac:dyDescent="0.25">
      <c r="O1089" s="99"/>
    </row>
    <row r="1090" spans="15:15" x14ac:dyDescent="0.25">
      <c r="O1090" s="99"/>
    </row>
    <row r="1091" spans="15:15" x14ac:dyDescent="0.25">
      <c r="O1091" s="99"/>
    </row>
    <row r="1092" spans="15:15" x14ac:dyDescent="0.25">
      <c r="O1092" s="99"/>
    </row>
    <row r="1093" spans="15:15" x14ac:dyDescent="0.25">
      <c r="O1093" s="99"/>
    </row>
    <row r="1094" spans="15:15" x14ac:dyDescent="0.25">
      <c r="O1094" s="99"/>
    </row>
    <row r="1095" spans="15:15" x14ac:dyDescent="0.25">
      <c r="O1095" s="99"/>
    </row>
    <row r="1096" spans="15:15" x14ac:dyDescent="0.25">
      <c r="O1096" s="99"/>
    </row>
    <row r="1097" spans="15:15" x14ac:dyDescent="0.25">
      <c r="O1097" s="99"/>
    </row>
    <row r="1098" spans="15:15" x14ac:dyDescent="0.25">
      <c r="O1098" s="99"/>
    </row>
    <row r="1099" spans="15:15" x14ac:dyDescent="0.25">
      <c r="O1099" s="99"/>
    </row>
    <row r="1100" spans="15:15" x14ac:dyDescent="0.25">
      <c r="O1100" s="99"/>
    </row>
    <row r="1101" spans="15:15" x14ac:dyDescent="0.25">
      <c r="O1101" s="99"/>
    </row>
    <row r="1102" spans="15:15" x14ac:dyDescent="0.25">
      <c r="O1102" s="99"/>
    </row>
    <row r="1103" spans="15:15" x14ac:dyDescent="0.25">
      <c r="O1103" s="99"/>
    </row>
    <row r="1104" spans="15:15" x14ac:dyDescent="0.25">
      <c r="O1104" s="99"/>
    </row>
    <row r="1105" spans="15:15" x14ac:dyDescent="0.25">
      <c r="O1105" s="99"/>
    </row>
    <row r="1106" spans="15:15" x14ac:dyDescent="0.25">
      <c r="O1106" s="99"/>
    </row>
    <row r="1107" spans="15:15" x14ac:dyDescent="0.25">
      <c r="O1107" s="99"/>
    </row>
    <row r="1108" spans="15:15" x14ac:dyDescent="0.25">
      <c r="O1108" s="99"/>
    </row>
    <row r="1109" spans="15:15" x14ac:dyDescent="0.25">
      <c r="O1109" s="99"/>
    </row>
    <row r="1110" spans="15:15" x14ac:dyDescent="0.25">
      <c r="O1110" s="99"/>
    </row>
    <row r="1111" spans="15:15" x14ac:dyDescent="0.25">
      <c r="O1111" s="99"/>
    </row>
    <row r="1112" spans="15:15" x14ac:dyDescent="0.25">
      <c r="O1112" s="99"/>
    </row>
    <row r="1113" spans="15:15" x14ac:dyDescent="0.25">
      <c r="O1113" s="99"/>
    </row>
    <row r="1114" spans="15:15" x14ac:dyDescent="0.25">
      <c r="O1114" s="99"/>
    </row>
    <row r="1115" spans="15:15" x14ac:dyDescent="0.25">
      <c r="O1115" s="99"/>
    </row>
    <row r="1116" spans="15:15" x14ac:dyDescent="0.25">
      <c r="O1116" s="99"/>
    </row>
    <row r="1117" spans="15:15" x14ac:dyDescent="0.25">
      <c r="O1117" s="99"/>
    </row>
    <row r="1118" spans="15:15" x14ac:dyDescent="0.25">
      <c r="O1118" s="99"/>
    </row>
    <row r="1119" spans="15:15" x14ac:dyDescent="0.25">
      <c r="O1119" s="99"/>
    </row>
    <row r="1120" spans="15:15" x14ac:dyDescent="0.25">
      <c r="O1120" s="99"/>
    </row>
    <row r="1121" spans="15:15" x14ac:dyDescent="0.25">
      <c r="O1121" s="99"/>
    </row>
    <row r="1122" spans="15:15" x14ac:dyDescent="0.25">
      <c r="O1122" s="99"/>
    </row>
    <row r="1123" spans="15:15" x14ac:dyDescent="0.25">
      <c r="O1123" s="99"/>
    </row>
    <row r="1124" spans="15:15" x14ac:dyDescent="0.25">
      <c r="O1124" s="99"/>
    </row>
    <row r="1125" spans="15:15" x14ac:dyDescent="0.25">
      <c r="O1125" s="99"/>
    </row>
    <row r="1126" spans="15:15" x14ac:dyDescent="0.25">
      <c r="O1126" s="99"/>
    </row>
    <row r="1127" spans="15:15" x14ac:dyDescent="0.25">
      <c r="O1127" s="99"/>
    </row>
    <row r="1128" spans="15:15" x14ac:dyDescent="0.25">
      <c r="O1128" s="99"/>
    </row>
    <row r="1129" spans="15:15" x14ac:dyDescent="0.25">
      <c r="O1129" s="99"/>
    </row>
    <row r="1130" spans="15:15" x14ac:dyDescent="0.25">
      <c r="O1130" s="99"/>
    </row>
    <row r="1131" spans="15:15" x14ac:dyDescent="0.25">
      <c r="O1131" s="99"/>
    </row>
    <row r="1132" spans="15:15" x14ac:dyDescent="0.25">
      <c r="O1132" s="99"/>
    </row>
    <row r="1133" spans="15:15" x14ac:dyDescent="0.25">
      <c r="O1133" s="99"/>
    </row>
    <row r="1134" spans="15:15" x14ac:dyDescent="0.25">
      <c r="O1134" s="99"/>
    </row>
    <row r="1135" spans="15:15" x14ac:dyDescent="0.25">
      <c r="O1135" s="99"/>
    </row>
    <row r="1136" spans="15:15" x14ac:dyDescent="0.25">
      <c r="O1136" s="99"/>
    </row>
    <row r="1137" spans="15:15" x14ac:dyDescent="0.25">
      <c r="O1137" s="99"/>
    </row>
    <row r="1138" spans="15:15" x14ac:dyDescent="0.25">
      <c r="O1138" s="99"/>
    </row>
    <row r="1139" spans="15:15" x14ac:dyDescent="0.25">
      <c r="O1139" s="99"/>
    </row>
    <row r="1140" spans="15:15" x14ac:dyDescent="0.25">
      <c r="O1140" s="99"/>
    </row>
    <row r="1141" spans="15:15" x14ac:dyDescent="0.25">
      <c r="O1141" s="99"/>
    </row>
    <row r="1142" spans="15:15" x14ac:dyDescent="0.25">
      <c r="O1142" s="99"/>
    </row>
    <row r="1143" spans="15:15" x14ac:dyDescent="0.25">
      <c r="O1143" s="99"/>
    </row>
    <row r="1144" spans="15:15" x14ac:dyDescent="0.25">
      <c r="O1144" s="99"/>
    </row>
    <row r="1145" spans="15:15" x14ac:dyDescent="0.25">
      <c r="O1145" s="99"/>
    </row>
    <row r="1146" spans="15:15" x14ac:dyDescent="0.25">
      <c r="O1146" s="99"/>
    </row>
    <row r="1147" spans="15:15" x14ac:dyDescent="0.25">
      <c r="O1147" s="99"/>
    </row>
    <row r="1148" spans="15:15" x14ac:dyDescent="0.25">
      <c r="O1148" s="99"/>
    </row>
    <row r="1149" spans="15:15" x14ac:dyDescent="0.25">
      <c r="O1149" s="99"/>
    </row>
    <row r="1150" spans="15:15" x14ac:dyDescent="0.25">
      <c r="O1150" s="99"/>
    </row>
    <row r="1151" spans="15:15" x14ac:dyDescent="0.25">
      <c r="O1151" s="99"/>
    </row>
    <row r="1152" spans="15:15" x14ac:dyDescent="0.25">
      <c r="O1152" s="99"/>
    </row>
    <row r="1153" spans="15:15" x14ac:dyDescent="0.25">
      <c r="O1153" s="99"/>
    </row>
    <row r="1154" spans="15:15" x14ac:dyDescent="0.25">
      <c r="O1154" s="99"/>
    </row>
    <row r="1155" spans="15:15" x14ac:dyDescent="0.25">
      <c r="O1155" s="99"/>
    </row>
    <row r="1156" spans="15:15" x14ac:dyDescent="0.25">
      <c r="O1156" s="99"/>
    </row>
    <row r="1157" spans="15:15" x14ac:dyDescent="0.25">
      <c r="O1157" s="99"/>
    </row>
    <row r="1158" spans="15:15" x14ac:dyDescent="0.25">
      <c r="O1158" s="99"/>
    </row>
    <row r="1159" spans="15:15" x14ac:dyDescent="0.25">
      <c r="O1159" s="99"/>
    </row>
    <row r="1160" spans="15:15" x14ac:dyDescent="0.25">
      <c r="O1160" s="99"/>
    </row>
    <row r="1161" spans="15:15" x14ac:dyDescent="0.25">
      <c r="O1161" s="99"/>
    </row>
    <row r="1162" spans="15:15" x14ac:dyDescent="0.25">
      <c r="O1162" s="99"/>
    </row>
    <row r="1163" spans="15:15" x14ac:dyDescent="0.25">
      <c r="O1163" s="99"/>
    </row>
    <row r="1164" spans="15:15" x14ac:dyDescent="0.25">
      <c r="O1164" s="99"/>
    </row>
    <row r="1165" spans="15:15" x14ac:dyDescent="0.25">
      <c r="O1165" s="99"/>
    </row>
    <row r="1166" spans="15:15" x14ac:dyDescent="0.25">
      <c r="O1166" s="99"/>
    </row>
    <row r="1167" spans="15:15" x14ac:dyDescent="0.25">
      <c r="O1167" s="99"/>
    </row>
    <row r="1168" spans="15:15" x14ac:dyDescent="0.25">
      <c r="O1168" s="99"/>
    </row>
    <row r="1169" spans="15:15" x14ac:dyDescent="0.25">
      <c r="O1169" s="99"/>
    </row>
    <row r="1170" spans="15:15" x14ac:dyDescent="0.25">
      <c r="O1170" s="99"/>
    </row>
    <row r="1171" spans="15:15" x14ac:dyDescent="0.25">
      <c r="O1171" s="99"/>
    </row>
    <row r="1172" spans="15:15" x14ac:dyDescent="0.25">
      <c r="O1172" s="99"/>
    </row>
    <row r="1173" spans="15:15" x14ac:dyDescent="0.25">
      <c r="O1173" s="99"/>
    </row>
    <row r="1174" spans="15:15" x14ac:dyDescent="0.25">
      <c r="O1174" s="99"/>
    </row>
    <row r="1175" spans="15:15" x14ac:dyDescent="0.25">
      <c r="O1175" s="99"/>
    </row>
    <row r="1176" spans="15:15" x14ac:dyDescent="0.25">
      <c r="O1176" s="99"/>
    </row>
    <row r="1177" spans="15:15" x14ac:dyDescent="0.25">
      <c r="O1177" s="99"/>
    </row>
    <row r="1178" spans="15:15" x14ac:dyDescent="0.25">
      <c r="O1178" s="99"/>
    </row>
    <row r="1179" spans="15:15" x14ac:dyDescent="0.25">
      <c r="O1179" s="99"/>
    </row>
    <row r="1180" spans="15:15" x14ac:dyDescent="0.25">
      <c r="O1180" s="99"/>
    </row>
    <row r="1181" spans="15:15" x14ac:dyDescent="0.25">
      <c r="O1181" s="99"/>
    </row>
    <row r="1182" spans="15:15" x14ac:dyDescent="0.25">
      <c r="O1182" s="99"/>
    </row>
    <row r="1183" spans="15:15" x14ac:dyDescent="0.25">
      <c r="O1183" s="99"/>
    </row>
    <row r="1184" spans="15:15" x14ac:dyDescent="0.25">
      <c r="O1184" s="99"/>
    </row>
    <row r="1185" spans="15:15" x14ac:dyDescent="0.25">
      <c r="O1185" s="99"/>
    </row>
    <row r="1186" spans="15:15" x14ac:dyDescent="0.25">
      <c r="O1186" s="99"/>
    </row>
    <row r="1187" spans="15:15" x14ac:dyDescent="0.25">
      <c r="O1187" s="99"/>
    </row>
    <row r="1188" spans="15:15" x14ac:dyDescent="0.25">
      <c r="O1188" s="99"/>
    </row>
    <row r="1189" spans="15:15" x14ac:dyDescent="0.25">
      <c r="O1189" s="99"/>
    </row>
    <row r="1190" spans="15:15" x14ac:dyDescent="0.25">
      <c r="O1190" s="99"/>
    </row>
    <row r="1191" spans="15:15" x14ac:dyDescent="0.25">
      <c r="O1191" s="99"/>
    </row>
    <row r="1192" spans="15:15" x14ac:dyDescent="0.25">
      <c r="O1192" s="99"/>
    </row>
    <row r="1193" spans="15:15" x14ac:dyDescent="0.25">
      <c r="O1193" s="99"/>
    </row>
    <row r="1194" spans="15:15" x14ac:dyDescent="0.25">
      <c r="O1194" s="99"/>
    </row>
    <row r="1195" spans="15:15" x14ac:dyDescent="0.25">
      <c r="O1195" s="99"/>
    </row>
    <row r="1196" spans="15:15" x14ac:dyDescent="0.25">
      <c r="O1196" s="99"/>
    </row>
    <row r="1197" spans="15:15" x14ac:dyDescent="0.25">
      <c r="O1197" s="99"/>
    </row>
    <row r="1198" spans="15:15" x14ac:dyDescent="0.25">
      <c r="O1198" s="99"/>
    </row>
    <row r="1199" spans="15:15" x14ac:dyDescent="0.25">
      <c r="O1199" s="99"/>
    </row>
    <row r="1200" spans="15:15" x14ac:dyDescent="0.25">
      <c r="O1200" s="99"/>
    </row>
    <row r="1201" spans="15:15" x14ac:dyDescent="0.25">
      <c r="O1201" s="99"/>
    </row>
    <row r="1202" spans="15:15" x14ac:dyDescent="0.25">
      <c r="O1202" s="99"/>
    </row>
    <row r="1203" spans="15:15" x14ac:dyDescent="0.25">
      <c r="O1203" s="99"/>
    </row>
    <row r="1204" spans="15:15" x14ac:dyDescent="0.25">
      <c r="O1204" s="99"/>
    </row>
    <row r="1205" spans="15:15" x14ac:dyDescent="0.25">
      <c r="O1205" s="99"/>
    </row>
    <row r="1206" spans="15:15" x14ac:dyDescent="0.25">
      <c r="O1206" s="99"/>
    </row>
    <row r="1207" spans="15:15" x14ac:dyDescent="0.25">
      <c r="O1207" s="99"/>
    </row>
    <row r="1208" spans="15:15" x14ac:dyDescent="0.25">
      <c r="O1208" s="99"/>
    </row>
    <row r="1209" spans="15:15" x14ac:dyDescent="0.25">
      <c r="O1209" s="99"/>
    </row>
    <row r="1210" spans="15:15" x14ac:dyDescent="0.25">
      <c r="O1210" s="99"/>
    </row>
    <row r="1211" spans="15:15" x14ac:dyDescent="0.25">
      <c r="O1211" s="99"/>
    </row>
    <row r="1212" spans="15:15" x14ac:dyDescent="0.25">
      <c r="O1212" s="99"/>
    </row>
    <row r="1213" spans="15:15" x14ac:dyDescent="0.25">
      <c r="O1213" s="99"/>
    </row>
    <row r="1214" spans="15:15" x14ac:dyDescent="0.25">
      <c r="O1214" s="99"/>
    </row>
    <row r="1215" spans="15:15" x14ac:dyDescent="0.25">
      <c r="O1215" s="99"/>
    </row>
    <row r="1216" spans="15:15" x14ac:dyDescent="0.25">
      <c r="O1216" s="99"/>
    </row>
    <row r="1217" spans="15:15" x14ac:dyDescent="0.25">
      <c r="O1217" s="99"/>
    </row>
    <row r="1218" spans="15:15" x14ac:dyDescent="0.25">
      <c r="O1218" s="99"/>
    </row>
    <row r="1219" spans="15:15" x14ac:dyDescent="0.25">
      <c r="O1219" s="99"/>
    </row>
    <row r="1220" spans="15:15" x14ac:dyDescent="0.25">
      <c r="O1220" s="99"/>
    </row>
    <row r="1221" spans="15:15" x14ac:dyDescent="0.25">
      <c r="O1221" s="99"/>
    </row>
    <row r="1222" spans="15:15" x14ac:dyDescent="0.25">
      <c r="O1222" s="99"/>
    </row>
    <row r="1223" spans="15:15" x14ac:dyDescent="0.25">
      <c r="O1223" s="99"/>
    </row>
    <row r="1224" spans="15:15" x14ac:dyDescent="0.25">
      <c r="O1224" s="99"/>
    </row>
    <row r="1225" spans="15:15" x14ac:dyDescent="0.25">
      <c r="O1225" s="99"/>
    </row>
    <row r="1226" spans="15:15" x14ac:dyDescent="0.25">
      <c r="O1226" s="99"/>
    </row>
    <row r="1227" spans="15:15" x14ac:dyDescent="0.25">
      <c r="O1227" s="99"/>
    </row>
    <row r="1228" spans="15:15" x14ac:dyDescent="0.25">
      <c r="O1228" s="99"/>
    </row>
    <row r="1229" spans="15:15" x14ac:dyDescent="0.25">
      <c r="O1229" s="99"/>
    </row>
    <row r="1230" spans="15:15" x14ac:dyDescent="0.25">
      <c r="O1230" s="99"/>
    </row>
    <row r="1231" spans="15:15" x14ac:dyDescent="0.25">
      <c r="O1231" s="99"/>
    </row>
    <row r="1232" spans="15:15" x14ac:dyDescent="0.25">
      <c r="O1232" s="99"/>
    </row>
    <row r="1233" spans="15:15" x14ac:dyDescent="0.25">
      <c r="O1233" s="99"/>
    </row>
    <row r="1234" spans="15:15" x14ac:dyDescent="0.25">
      <c r="O1234" s="99"/>
    </row>
    <row r="1235" spans="15:15" x14ac:dyDescent="0.25">
      <c r="O1235" s="99"/>
    </row>
    <row r="1236" spans="15:15" x14ac:dyDescent="0.25">
      <c r="O1236" s="99"/>
    </row>
    <row r="1237" spans="15:15" x14ac:dyDescent="0.25">
      <c r="O1237" s="99"/>
    </row>
    <row r="1238" spans="15:15" x14ac:dyDescent="0.25">
      <c r="O1238" s="99"/>
    </row>
    <row r="1239" spans="15:15" x14ac:dyDescent="0.25">
      <c r="O1239" s="99"/>
    </row>
    <row r="1240" spans="15:15" x14ac:dyDescent="0.25">
      <c r="O1240" s="99"/>
    </row>
    <row r="1241" spans="15:15" x14ac:dyDescent="0.25">
      <c r="O1241" s="99"/>
    </row>
    <row r="1242" spans="15:15" x14ac:dyDescent="0.25">
      <c r="O1242" s="99"/>
    </row>
    <row r="1243" spans="15:15" x14ac:dyDescent="0.25">
      <c r="O1243" s="99"/>
    </row>
    <row r="1244" spans="15:15" x14ac:dyDescent="0.25">
      <c r="O1244" s="99"/>
    </row>
    <row r="1245" spans="15:15" x14ac:dyDescent="0.25">
      <c r="O1245" s="99"/>
    </row>
    <row r="1246" spans="15:15" x14ac:dyDescent="0.25">
      <c r="O1246" s="99"/>
    </row>
    <row r="1247" spans="15:15" x14ac:dyDescent="0.25">
      <c r="O1247" s="99"/>
    </row>
    <row r="1248" spans="15:15" x14ac:dyDescent="0.25">
      <c r="O1248" s="99"/>
    </row>
    <row r="1249" spans="15:15" x14ac:dyDescent="0.25">
      <c r="O1249" s="99"/>
    </row>
    <row r="1250" spans="15:15" x14ac:dyDescent="0.25">
      <c r="O1250" s="99"/>
    </row>
    <row r="1251" spans="15:15" x14ac:dyDescent="0.25">
      <c r="O1251" s="99"/>
    </row>
    <row r="1252" spans="15:15" x14ac:dyDescent="0.25">
      <c r="O1252" s="99"/>
    </row>
    <row r="1253" spans="15:15" x14ac:dyDescent="0.25">
      <c r="O1253" s="99"/>
    </row>
    <row r="1254" spans="15:15" x14ac:dyDescent="0.25">
      <c r="O1254" s="99"/>
    </row>
    <row r="1255" spans="15:15" x14ac:dyDescent="0.25">
      <c r="O1255" s="99"/>
    </row>
    <row r="1256" spans="15:15" x14ac:dyDescent="0.25">
      <c r="O1256" s="99"/>
    </row>
    <row r="1257" spans="15:15" x14ac:dyDescent="0.25">
      <c r="O1257" s="99"/>
    </row>
    <row r="1258" spans="15:15" x14ac:dyDescent="0.25">
      <c r="O1258" s="99"/>
    </row>
    <row r="1259" spans="15:15" x14ac:dyDescent="0.25">
      <c r="O1259" s="99"/>
    </row>
    <row r="1260" spans="15:15" x14ac:dyDescent="0.25">
      <c r="O1260" s="99"/>
    </row>
    <row r="1261" spans="15:15" x14ac:dyDescent="0.25">
      <c r="O1261" s="99"/>
    </row>
    <row r="1262" spans="15:15" x14ac:dyDescent="0.25">
      <c r="O1262" s="99"/>
    </row>
    <row r="1263" spans="15:15" x14ac:dyDescent="0.25">
      <c r="O1263" s="99"/>
    </row>
    <row r="1264" spans="15:15" x14ac:dyDescent="0.25">
      <c r="O1264" s="99"/>
    </row>
    <row r="1265" spans="15:15" x14ac:dyDescent="0.25">
      <c r="O1265" s="99"/>
    </row>
    <row r="1266" spans="15:15" x14ac:dyDescent="0.25">
      <c r="O1266" s="99"/>
    </row>
    <row r="1267" spans="15:15" x14ac:dyDescent="0.25">
      <c r="O1267" s="99"/>
    </row>
    <row r="1268" spans="15:15" x14ac:dyDescent="0.25">
      <c r="O1268" s="99"/>
    </row>
    <row r="1269" spans="15:15" x14ac:dyDescent="0.25">
      <c r="O1269" s="99"/>
    </row>
    <row r="1270" spans="15:15" x14ac:dyDescent="0.25">
      <c r="O1270" s="99"/>
    </row>
    <row r="1271" spans="15:15" x14ac:dyDescent="0.25">
      <c r="O1271" s="99"/>
    </row>
    <row r="1272" spans="15:15" x14ac:dyDescent="0.25">
      <c r="O1272" s="99"/>
    </row>
    <row r="1273" spans="15:15" x14ac:dyDescent="0.25">
      <c r="O1273" s="99"/>
    </row>
    <row r="1274" spans="15:15" x14ac:dyDescent="0.25">
      <c r="O1274" s="99"/>
    </row>
    <row r="1275" spans="15:15" x14ac:dyDescent="0.25">
      <c r="O1275" s="99"/>
    </row>
    <row r="1276" spans="15:15" x14ac:dyDescent="0.25">
      <c r="O1276" s="99"/>
    </row>
    <row r="1277" spans="15:15" x14ac:dyDescent="0.25">
      <c r="O1277" s="99"/>
    </row>
    <row r="1278" spans="15:15" x14ac:dyDescent="0.25">
      <c r="O1278" s="99"/>
    </row>
    <row r="1279" spans="15:15" x14ac:dyDescent="0.25">
      <c r="O1279" s="99"/>
    </row>
    <row r="1280" spans="15:15" x14ac:dyDescent="0.25">
      <c r="O1280" s="99"/>
    </row>
    <row r="1281" spans="15:15" x14ac:dyDescent="0.25">
      <c r="O1281" s="99"/>
    </row>
    <row r="1282" spans="15:15" x14ac:dyDescent="0.25">
      <c r="O1282" s="99"/>
    </row>
    <row r="1283" spans="15:15" x14ac:dyDescent="0.25">
      <c r="O1283" s="99"/>
    </row>
    <row r="1284" spans="15:15" x14ac:dyDescent="0.25">
      <c r="O1284" s="99"/>
    </row>
    <row r="1285" spans="15:15" x14ac:dyDescent="0.25">
      <c r="O1285" s="99"/>
    </row>
    <row r="1286" spans="15:15" x14ac:dyDescent="0.25">
      <c r="O1286" s="99"/>
    </row>
    <row r="1287" spans="15:15" x14ac:dyDescent="0.25">
      <c r="O1287" s="99"/>
    </row>
    <row r="1288" spans="15:15" x14ac:dyDescent="0.25">
      <c r="O1288" s="99"/>
    </row>
    <row r="1289" spans="15:15" x14ac:dyDescent="0.25">
      <c r="O1289" s="99"/>
    </row>
    <row r="1290" spans="15:15" x14ac:dyDescent="0.25">
      <c r="O1290" s="99"/>
    </row>
    <row r="1291" spans="15:15" x14ac:dyDescent="0.25">
      <c r="O1291" s="99"/>
    </row>
    <row r="1292" spans="15:15" x14ac:dyDescent="0.25">
      <c r="O1292" s="99"/>
    </row>
    <row r="1293" spans="15:15" x14ac:dyDescent="0.25">
      <c r="O1293" s="99"/>
    </row>
    <row r="1294" spans="15:15" x14ac:dyDescent="0.25">
      <c r="O1294" s="99"/>
    </row>
    <row r="1295" spans="15:15" x14ac:dyDescent="0.25">
      <c r="O1295" s="99"/>
    </row>
    <row r="1296" spans="15:15" x14ac:dyDescent="0.25">
      <c r="O1296" s="99"/>
    </row>
    <row r="1297" spans="15:15" x14ac:dyDescent="0.25">
      <c r="O1297" s="99"/>
    </row>
    <row r="1298" spans="15:15" x14ac:dyDescent="0.25">
      <c r="O1298" s="99"/>
    </row>
    <row r="1299" spans="15:15" x14ac:dyDescent="0.25">
      <c r="O1299" s="99"/>
    </row>
    <row r="1300" spans="15:15" x14ac:dyDescent="0.25">
      <c r="O1300" s="99"/>
    </row>
    <row r="1301" spans="15:15" x14ac:dyDescent="0.25">
      <c r="O1301" s="99"/>
    </row>
    <row r="1302" spans="15:15" x14ac:dyDescent="0.25">
      <c r="O1302" s="99"/>
    </row>
    <row r="1303" spans="15:15" x14ac:dyDescent="0.25">
      <c r="O1303" s="99"/>
    </row>
    <row r="1304" spans="15:15" x14ac:dyDescent="0.25">
      <c r="O1304" s="99"/>
    </row>
    <row r="1305" spans="15:15" x14ac:dyDescent="0.25">
      <c r="O1305" s="99"/>
    </row>
    <row r="1306" spans="15:15" x14ac:dyDescent="0.25">
      <c r="O1306" s="99"/>
    </row>
    <row r="1307" spans="15:15" x14ac:dyDescent="0.25">
      <c r="O1307" s="99"/>
    </row>
    <row r="1308" spans="15:15" x14ac:dyDescent="0.25">
      <c r="O1308" s="99"/>
    </row>
    <row r="1309" spans="15:15" x14ac:dyDescent="0.25">
      <c r="O1309" s="99"/>
    </row>
    <row r="1310" spans="15:15" x14ac:dyDescent="0.25">
      <c r="O1310" s="99"/>
    </row>
    <row r="1311" spans="15:15" x14ac:dyDescent="0.25">
      <c r="O1311" s="99"/>
    </row>
    <row r="1312" spans="15:15" x14ac:dyDescent="0.25">
      <c r="O1312" s="99"/>
    </row>
    <row r="1313" spans="15:15" x14ac:dyDescent="0.25">
      <c r="O1313" s="99"/>
    </row>
    <row r="1314" spans="15:15" x14ac:dyDescent="0.25">
      <c r="O1314" s="99"/>
    </row>
    <row r="1315" spans="15:15" x14ac:dyDescent="0.25">
      <c r="O1315" s="99"/>
    </row>
    <row r="1316" spans="15:15" x14ac:dyDescent="0.25">
      <c r="O1316" s="99"/>
    </row>
    <row r="1317" spans="15:15" x14ac:dyDescent="0.25">
      <c r="O1317" s="99"/>
    </row>
    <row r="1318" spans="15:15" x14ac:dyDescent="0.25">
      <c r="O1318" s="99"/>
    </row>
    <row r="1319" spans="15:15" x14ac:dyDescent="0.25">
      <c r="O1319" s="99"/>
    </row>
    <row r="1320" spans="15:15" x14ac:dyDescent="0.25">
      <c r="O1320" s="99"/>
    </row>
    <row r="1321" spans="15:15" x14ac:dyDescent="0.25">
      <c r="O1321" s="99"/>
    </row>
    <row r="1322" spans="15:15" x14ac:dyDescent="0.25">
      <c r="O1322" s="99"/>
    </row>
    <row r="1323" spans="15:15" x14ac:dyDescent="0.25">
      <c r="O1323" s="99"/>
    </row>
    <row r="1324" spans="15:15" x14ac:dyDescent="0.25">
      <c r="O1324" s="99"/>
    </row>
    <row r="1325" spans="15:15" x14ac:dyDescent="0.25">
      <c r="O1325" s="99"/>
    </row>
    <row r="1326" spans="15:15" x14ac:dyDescent="0.25">
      <c r="O1326" s="99"/>
    </row>
    <row r="1327" spans="15:15" x14ac:dyDescent="0.25">
      <c r="O1327" s="99"/>
    </row>
    <row r="1328" spans="15:15" x14ac:dyDescent="0.25">
      <c r="O1328" s="99"/>
    </row>
    <row r="1329" spans="15:15" x14ac:dyDescent="0.25">
      <c r="O1329" s="99"/>
    </row>
    <row r="1330" spans="15:15" x14ac:dyDescent="0.25">
      <c r="O1330" s="99"/>
    </row>
    <row r="1331" spans="15:15" x14ac:dyDescent="0.25">
      <c r="O1331" s="99"/>
    </row>
    <row r="1332" spans="15:15" x14ac:dyDescent="0.25">
      <c r="O1332" s="99"/>
    </row>
    <row r="1333" spans="15:15" x14ac:dyDescent="0.25">
      <c r="O1333" s="99"/>
    </row>
    <row r="1334" spans="15:15" x14ac:dyDescent="0.25">
      <c r="O1334" s="99"/>
    </row>
    <row r="1335" spans="15:15" x14ac:dyDescent="0.25">
      <c r="O1335" s="99"/>
    </row>
    <row r="1336" spans="15:15" x14ac:dyDescent="0.25">
      <c r="O1336" s="99"/>
    </row>
    <row r="1337" spans="15:15" x14ac:dyDescent="0.25">
      <c r="O1337" s="99"/>
    </row>
    <row r="1338" spans="15:15" x14ac:dyDescent="0.25">
      <c r="O1338" s="99"/>
    </row>
    <row r="1339" spans="15:15" x14ac:dyDescent="0.25">
      <c r="O1339" s="99"/>
    </row>
    <row r="1340" spans="15:15" x14ac:dyDescent="0.25">
      <c r="O1340" s="99"/>
    </row>
    <row r="1341" spans="15:15" x14ac:dyDescent="0.25">
      <c r="O1341" s="99"/>
    </row>
    <row r="1342" spans="15:15" x14ac:dyDescent="0.25">
      <c r="O1342" s="99"/>
    </row>
    <row r="1343" spans="15:15" x14ac:dyDescent="0.25">
      <c r="O1343" s="99"/>
    </row>
    <row r="1344" spans="15:15" x14ac:dyDescent="0.25">
      <c r="O1344" s="99"/>
    </row>
    <row r="1345" spans="15:15" x14ac:dyDescent="0.25">
      <c r="O1345" s="99"/>
    </row>
    <row r="1346" spans="15:15" x14ac:dyDescent="0.25">
      <c r="O1346" s="99"/>
    </row>
    <row r="1347" spans="15:15" x14ac:dyDescent="0.25">
      <c r="O1347" s="99"/>
    </row>
    <row r="1348" spans="15:15" x14ac:dyDescent="0.25">
      <c r="O1348" s="99"/>
    </row>
    <row r="1349" spans="15:15" x14ac:dyDescent="0.25">
      <c r="O1349" s="99"/>
    </row>
    <row r="1350" spans="15:15" x14ac:dyDescent="0.25">
      <c r="O1350" s="99"/>
    </row>
    <row r="1351" spans="15:15" x14ac:dyDescent="0.25">
      <c r="O1351" s="99"/>
    </row>
    <row r="1352" spans="15:15" x14ac:dyDescent="0.25">
      <c r="O1352" s="99"/>
    </row>
    <row r="1353" spans="15:15" x14ac:dyDescent="0.25">
      <c r="O1353" s="99"/>
    </row>
    <row r="1354" spans="15:15" x14ac:dyDescent="0.25">
      <c r="O1354" s="99"/>
    </row>
    <row r="1355" spans="15:15" x14ac:dyDescent="0.25">
      <c r="O1355" s="99"/>
    </row>
    <row r="1356" spans="15:15" x14ac:dyDescent="0.25">
      <c r="O1356" s="99"/>
    </row>
    <row r="1357" spans="15:15" x14ac:dyDescent="0.25">
      <c r="O1357" s="99"/>
    </row>
    <row r="1358" spans="15:15" x14ac:dyDescent="0.25">
      <c r="O1358" s="99"/>
    </row>
    <row r="1359" spans="15:15" x14ac:dyDescent="0.25">
      <c r="O1359" s="99"/>
    </row>
    <row r="1360" spans="15:15" x14ac:dyDescent="0.25">
      <c r="O1360" s="99"/>
    </row>
    <row r="1361" spans="15:15" x14ac:dyDescent="0.25">
      <c r="O1361" s="99"/>
    </row>
    <row r="1362" spans="15:15" x14ac:dyDescent="0.25">
      <c r="O1362" s="99"/>
    </row>
    <row r="1363" spans="15:15" x14ac:dyDescent="0.25">
      <c r="O1363" s="99"/>
    </row>
    <row r="1364" spans="15:15" x14ac:dyDescent="0.25">
      <c r="O1364" s="99"/>
    </row>
    <row r="1365" spans="15:15" x14ac:dyDescent="0.25">
      <c r="O1365" s="99"/>
    </row>
    <row r="1366" spans="15:15" x14ac:dyDescent="0.25">
      <c r="O1366" s="99"/>
    </row>
    <row r="1367" spans="15:15" x14ac:dyDescent="0.25">
      <c r="O1367" s="99"/>
    </row>
    <row r="1368" spans="15:15" x14ac:dyDescent="0.25">
      <c r="O1368" s="99"/>
    </row>
    <row r="1369" spans="15:15" x14ac:dyDescent="0.25">
      <c r="O1369" s="99"/>
    </row>
    <row r="1370" spans="15:15" x14ac:dyDescent="0.25">
      <c r="O1370" s="99"/>
    </row>
    <row r="1371" spans="15:15" x14ac:dyDescent="0.25">
      <c r="O1371" s="99"/>
    </row>
    <row r="1372" spans="15:15" x14ac:dyDescent="0.25">
      <c r="O1372" s="99"/>
    </row>
    <row r="1373" spans="15:15" x14ac:dyDescent="0.25">
      <c r="O1373" s="99"/>
    </row>
    <row r="1374" spans="15:15" x14ac:dyDescent="0.25">
      <c r="O1374" s="99"/>
    </row>
    <row r="1375" spans="15:15" x14ac:dyDescent="0.25">
      <c r="O1375" s="99"/>
    </row>
    <row r="1376" spans="15:15" x14ac:dyDescent="0.25">
      <c r="O1376" s="99"/>
    </row>
    <row r="1377" spans="15:15" x14ac:dyDescent="0.25">
      <c r="O1377" s="99"/>
    </row>
    <row r="1378" spans="15:15" x14ac:dyDescent="0.25">
      <c r="O1378" s="99"/>
    </row>
    <row r="1379" spans="15:15" x14ac:dyDescent="0.25">
      <c r="O1379" s="99"/>
    </row>
    <row r="1380" spans="15:15" x14ac:dyDescent="0.25">
      <c r="O1380" s="99"/>
    </row>
    <row r="1381" spans="15:15" x14ac:dyDescent="0.25">
      <c r="O1381" s="99"/>
    </row>
    <row r="1382" spans="15:15" x14ac:dyDescent="0.25">
      <c r="O1382" s="99"/>
    </row>
    <row r="1383" spans="15:15" x14ac:dyDescent="0.25">
      <c r="O1383" s="99"/>
    </row>
    <row r="1384" spans="15:15" x14ac:dyDescent="0.25">
      <c r="O1384" s="99"/>
    </row>
    <row r="1385" spans="15:15" x14ac:dyDescent="0.25">
      <c r="O1385" s="99"/>
    </row>
    <row r="1386" spans="15:15" x14ac:dyDescent="0.25">
      <c r="O1386" s="99"/>
    </row>
    <row r="1387" spans="15:15" x14ac:dyDescent="0.25">
      <c r="O1387" s="99"/>
    </row>
    <row r="1388" spans="15:15" x14ac:dyDescent="0.25">
      <c r="O1388" s="99"/>
    </row>
    <row r="1389" spans="15:15" x14ac:dyDescent="0.25">
      <c r="O1389" s="99"/>
    </row>
    <row r="1390" spans="15:15" x14ac:dyDescent="0.25">
      <c r="O1390" s="99"/>
    </row>
    <row r="1391" spans="15:15" x14ac:dyDescent="0.25">
      <c r="O1391" s="99"/>
    </row>
    <row r="1392" spans="15:15" x14ac:dyDescent="0.25">
      <c r="O1392" s="99"/>
    </row>
    <row r="1393" spans="15:15" x14ac:dyDescent="0.25">
      <c r="O1393" s="99"/>
    </row>
    <row r="1394" spans="15:15" x14ac:dyDescent="0.25">
      <c r="O1394" s="99"/>
    </row>
    <row r="1395" spans="15:15" x14ac:dyDescent="0.25">
      <c r="O1395" s="99"/>
    </row>
    <row r="1396" spans="15:15" x14ac:dyDescent="0.25">
      <c r="O1396" s="99"/>
    </row>
    <row r="1397" spans="15:15" x14ac:dyDescent="0.25">
      <c r="O1397" s="99"/>
    </row>
    <row r="1398" spans="15:15" x14ac:dyDescent="0.25">
      <c r="O1398" s="99"/>
    </row>
    <row r="1399" spans="15:15" x14ac:dyDescent="0.25">
      <c r="O1399" s="99"/>
    </row>
    <row r="1400" spans="15:15" x14ac:dyDescent="0.25">
      <c r="O1400" s="99"/>
    </row>
    <row r="1401" spans="15:15" x14ac:dyDescent="0.25">
      <c r="O1401" s="99"/>
    </row>
    <row r="1402" spans="15:15" x14ac:dyDescent="0.25">
      <c r="O1402" s="99"/>
    </row>
    <row r="1403" spans="15:15" x14ac:dyDescent="0.25">
      <c r="O1403" s="99"/>
    </row>
    <row r="1404" spans="15:15" x14ac:dyDescent="0.25">
      <c r="O1404" s="99"/>
    </row>
    <row r="1405" spans="15:15" x14ac:dyDescent="0.25">
      <c r="O1405" s="99"/>
    </row>
    <row r="1406" spans="15:15" x14ac:dyDescent="0.25">
      <c r="O1406" s="99"/>
    </row>
    <row r="1407" spans="15:15" x14ac:dyDescent="0.25">
      <c r="O1407" s="99"/>
    </row>
    <row r="1408" spans="15:15" x14ac:dyDescent="0.25">
      <c r="O1408" s="99"/>
    </row>
    <row r="1409" spans="15:15" x14ac:dyDescent="0.25">
      <c r="O1409" s="99"/>
    </row>
    <row r="1410" spans="15:15" x14ac:dyDescent="0.25">
      <c r="O1410" s="99"/>
    </row>
    <row r="1411" spans="15:15" x14ac:dyDescent="0.25">
      <c r="O1411" s="99"/>
    </row>
    <row r="1412" spans="15:15" x14ac:dyDescent="0.25">
      <c r="O1412" s="99"/>
    </row>
    <row r="1413" spans="15:15" x14ac:dyDescent="0.25">
      <c r="O1413" s="99"/>
    </row>
    <row r="1414" spans="15:15" x14ac:dyDescent="0.25">
      <c r="O1414" s="99"/>
    </row>
    <row r="1415" spans="15:15" x14ac:dyDescent="0.25">
      <c r="O1415" s="99"/>
    </row>
    <row r="1416" spans="15:15" x14ac:dyDescent="0.25">
      <c r="O1416" s="99"/>
    </row>
    <row r="1417" spans="15:15" x14ac:dyDescent="0.25">
      <c r="O1417" s="99"/>
    </row>
    <row r="1418" spans="15:15" x14ac:dyDescent="0.25">
      <c r="O1418" s="99"/>
    </row>
    <row r="1419" spans="15:15" x14ac:dyDescent="0.25">
      <c r="O1419" s="99"/>
    </row>
    <row r="1420" spans="15:15" x14ac:dyDescent="0.25">
      <c r="O1420" s="99"/>
    </row>
    <row r="1421" spans="15:15" x14ac:dyDescent="0.25">
      <c r="O1421" s="99"/>
    </row>
    <row r="1422" spans="15:15" x14ac:dyDescent="0.25">
      <c r="O1422" s="99"/>
    </row>
    <row r="1423" spans="15:15" x14ac:dyDescent="0.25">
      <c r="O1423" s="99"/>
    </row>
    <row r="1424" spans="15:15" x14ac:dyDescent="0.25">
      <c r="O1424" s="99"/>
    </row>
    <row r="1425" spans="15:15" x14ac:dyDescent="0.25">
      <c r="O1425" s="99"/>
    </row>
    <row r="1426" spans="15:15" x14ac:dyDescent="0.25">
      <c r="O1426" s="99"/>
    </row>
    <row r="1427" spans="15:15" x14ac:dyDescent="0.25">
      <c r="O1427" s="99"/>
    </row>
    <row r="1428" spans="15:15" x14ac:dyDescent="0.25">
      <c r="O1428" s="99"/>
    </row>
    <row r="1429" spans="15:15" x14ac:dyDescent="0.25">
      <c r="O1429" s="99"/>
    </row>
    <row r="1430" spans="15:15" x14ac:dyDescent="0.25">
      <c r="O1430" s="99"/>
    </row>
    <row r="1431" spans="15:15" x14ac:dyDescent="0.25">
      <c r="O1431" s="99"/>
    </row>
    <row r="1432" spans="15:15" x14ac:dyDescent="0.25">
      <c r="O1432" s="99"/>
    </row>
    <row r="1433" spans="15:15" x14ac:dyDescent="0.25">
      <c r="O1433" s="99"/>
    </row>
    <row r="1434" spans="15:15" x14ac:dyDescent="0.25">
      <c r="O1434" s="99"/>
    </row>
    <row r="1435" spans="15:15" x14ac:dyDescent="0.25">
      <c r="O1435" s="99"/>
    </row>
    <row r="1436" spans="15:15" x14ac:dyDescent="0.25">
      <c r="O1436" s="99"/>
    </row>
    <row r="1437" spans="15:15" x14ac:dyDescent="0.25">
      <c r="O1437" s="99"/>
    </row>
    <row r="1438" spans="15:15" x14ac:dyDescent="0.25">
      <c r="O1438" s="99"/>
    </row>
    <row r="1439" spans="15:15" x14ac:dyDescent="0.25">
      <c r="O1439" s="99"/>
    </row>
    <row r="1440" spans="15:15" x14ac:dyDescent="0.25">
      <c r="O1440" s="99"/>
    </row>
    <row r="1441" spans="15:15" x14ac:dyDescent="0.25">
      <c r="O1441" s="99"/>
    </row>
    <row r="1442" spans="15:15" x14ac:dyDescent="0.25">
      <c r="O1442" s="99"/>
    </row>
    <row r="1443" spans="15:15" x14ac:dyDescent="0.25">
      <c r="O1443" s="99"/>
    </row>
    <row r="1444" spans="15:15" x14ac:dyDescent="0.25">
      <c r="O1444" s="99"/>
    </row>
    <row r="1445" spans="15:15" x14ac:dyDescent="0.25">
      <c r="O1445" s="99"/>
    </row>
    <row r="1446" spans="15:15" x14ac:dyDescent="0.25">
      <c r="O1446" s="99"/>
    </row>
    <row r="1447" spans="15:15" x14ac:dyDescent="0.25">
      <c r="O1447" s="99"/>
    </row>
    <row r="1448" spans="15:15" x14ac:dyDescent="0.25">
      <c r="O1448" s="99"/>
    </row>
    <row r="1449" spans="15:15" x14ac:dyDescent="0.25">
      <c r="O1449" s="99"/>
    </row>
    <row r="1450" spans="15:15" x14ac:dyDescent="0.25">
      <c r="O1450" s="99"/>
    </row>
    <row r="1451" spans="15:15" x14ac:dyDescent="0.25">
      <c r="O1451" s="99"/>
    </row>
    <row r="1452" spans="15:15" x14ac:dyDescent="0.25">
      <c r="O1452" s="99"/>
    </row>
    <row r="1453" spans="15:15" x14ac:dyDescent="0.25">
      <c r="O1453" s="99"/>
    </row>
    <row r="1454" spans="15:15" x14ac:dyDescent="0.25">
      <c r="O1454" s="99"/>
    </row>
    <row r="1455" spans="15:15" x14ac:dyDescent="0.25">
      <c r="O1455" s="99"/>
    </row>
    <row r="1456" spans="15:15" x14ac:dyDescent="0.25">
      <c r="O1456" s="99"/>
    </row>
    <row r="1457" spans="15:15" x14ac:dyDescent="0.25">
      <c r="O1457" s="99"/>
    </row>
    <row r="1458" spans="15:15" x14ac:dyDescent="0.25">
      <c r="O1458" s="99"/>
    </row>
    <row r="1459" spans="15:15" x14ac:dyDescent="0.25">
      <c r="O1459" s="99"/>
    </row>
    <row r="1460" spans="15:15" x14ac:dyDescent="0.25">
      <c r="O1460" s="99"/>
    </row>
    <row r="1461" spans="15:15" x14ac:dyDescent="0.25">
      <c r="O1461" s="99"/>
    </row>
    <row r="1462" spans="15:15" x14ac:dyDescent="0.25">
      <c r="O1462" s="99"/>
    </row>
    <row r="1463" spans="15:15" x14ac:dyDescent="0.25">
      <c r="O1463" s="99"/>
    </row>
    <row r="1464" spans="15:15" x14ac:dyDescent="0.25">
      <c r="O1464" s="99"/>
    </row>
    <row r="1465" spans="15:15" x14ac:dyDescent="0.25">
      <c r="O1465" s="99"/>
    </row>
    <row r="1466" spans="15:15" x14ac:dyDescent="0.25">
      <c r="O1466" s="99"/>
    </row>
    <row r="1467" spans="15:15" x14ac:dyDescent="0.25">
      <c r="O1467" s="99"/>
    </row>
    <row r="1468" spans="15:15" x14ac:dyDescent="0.25">
      <c r="O1468" s="99"/>
    </row>
    <row r="1469" spans="15:15" x14ac:dyDescent="0.25">
      <c r="O1469" s="99"/>
    </row>
    <row r="1470" spans="15:15" x14ac:dyDescent="0.25">
      <c r="O1470" s="99"/>
    </row>
    <row r="1471" spans="15:15" x14ac:dyDescent="0.25">
      <c r="O1471" s="99"/>
    </row>
    <row r="1472" spans="15:15" x14ac:dyDescent="0.25">
      <c r="O1472" s="99"/>
    </row>
    <row r="1473" spans="15:15" x14ac:dyDescent="0.25">
      <c r="O1473" s="99"/>
    </row>
    <row r="1474" spans="15:15" x14ac:dyDescent="0.25">
      <c r="O1474" s="99"/>
    </row>
    <row r="1475" spans="15:15" x14ac:dyDescent="0.25">
      <c r="O1475" s="99"/>
    </row>
    <row r="1476" spans="15:15" x14ac:dyDescent="0.25">
      <c r="O1476" s="99"/>
    </row>
    <row r="1477" spans="15:15" x14ac:dyDescent="0.25">
      <c r="O1477" s="99"/>
    </row>
    <row r="1478" spans="15:15" x14ac:dyDescent="0.25">
      <c r="O1478" s="99"/>
    </row>
    <row r="1479" spans="15:15" x14ac:dyDescent="0.25">
      <c r="O1479" s="99"/>
    </row>
    <row r="1480" spans="15:15" x14ac:dyDescent="0.25">
      <c r="O1480" s="99"/>
    </row>
    <row r="1481" spans="15:15" x14ac:dyDescent="0.25">
      <c r="O1481" s="99"/>
    </row>
    <row r="1482" spans="15:15" x14ac:dyDescent="0.25">
      <c r="O1482" s="99"/>
    </row>
    <row r="1483" spans="15:15" x14ac:dyDescent="0.25">
      <c r="O1483" s="99"/>
    </row>
    <row r="1484" spans="15:15" x14ac:dyDescent="0.25">
      <c r="O1484" s="99"/>
    </row>
    <row r="1485" spans="15:15" x14ac:dyDescent="0.25">
      <c r="O1485" s="99"/>
    </row>
    <row r="1486" spans="15:15" x14ac:dyDescent="0.25">
      <c r="O1486" s="99"/>
    </row>
    <row r="1487" spans="15:15" x14ac:dyDescent="0.25">
      <c r="O1487" s="99"/>
    </row>
    <row r="1488" spans="15:15" x14ac:dyDescent="0.25">
      <c r="O1488" s="99"/>
    </row>
    <row r="1489" spans="15:15" x14ac:dyDescent="0.25">
      <c r="O1489" s="99"/>
    </row>
    <row r="1490" spans="15:15" x14ac:dyDescent="0.25">
      <c r="O1490" s="99"/>
    </row>
    <row r="1491" spans="15:15" x14ac:dyDescent="0.25">
      <c r="O1491" s="99"/>
    </row>
    <row r="1492" spans="15:15" x14ac:dyDescent="0.25">
      <c r="O1492" s="99"/>
    </row>
    <row r="1493" spans="15:15" x14ac:dyDescent="0.25">
      <c r="O1493" s="99"/>
    </row>
    <row r="1494" spans="15:15" x14ac:dyDescent="0.25">
      <c r="O1494" s="99"/>
    </row>
    <row r="1495" spans="15:15" x14ac:dyDescent="0.25">
      <c r="O1495" s="99"/>
    </row>
    <row r="1496" spans="15:15" x14ac:dyDescent="0.25">
      <c r="O1496" s="99"/>
    </row>
    <row r="1497" spans="15:15" x14ac:dyDescent="0.25">
      <c r="O1497" s="99"/>
    </row>
    <row r="1498" spans="15:15" x14ac:dyDescent="0.25">
      <c r="O1498" s="99"/>
    </row>
    <row r="1499" spans="15:15" x14ac:dyDescent="0.25">
      <c r="O1499" s="99"/>
    </row>
    <row r="1500" spans="15:15" x14ac:dyDescent="0.25">
      <c r="O1500" s="99"/>
    </row>
    <row r="1501" spans="15:15" x14ac:dyDescent="0.25">
      <c r="O1501" s="99"/>
    </row>
    <row r="1502" spans="15:15" x14ac:dyDescent="0.25">
      <c r="O1502" s="99"/>
    </row>
    <row r="1503" spans="15:15" x14ac:dyDescent="0.25">
      <c r="O1503" s="99"/>
    </row>
    <row r="1504" spans="15:15" x14ac:dyDescent="0.25">
      <c r="O1504" s="99"/>
    </row>
    <row r="1505" spans="15:15" x14ac:dyDescent="0.25">
      <c r="O1505" s="99"/>
    </row>
    <row r="1506" spans="15:15" x14ac:dyDescent="0.25">
      <c r="O1506" s="99"/>
    </row>
    <row r="1507" spans="15:15" x14ac:dyDescent="0.25">
      <c r="O1507" s="99"/>
    </row>
    <row r="1508" spans="15:15" x14ac:dyDescent="0.25">
      <c r="O1508" s="99"/>
    </row>
    <row r="1509" spans="15:15" x14ac:dyDescent="0.25">
      <c r="O1509" s="99"/>
    </row>
    <row r="1510" spans="15:15" x14ac:dyDescent="0.25">
      <c r="O1510" s="99"/>
    </row>
    <row r="1511" spans="15:15" x14ac:dyDescent="0.25">
      <c r="O1511" s="99"/>
    </row>
    <row r="1512" spans="15:15" x14ac:dyDescent="0.25">
      <c r="O1512" s="99"/>
    </row>
    <row r="1513" spans="15:15" x14ac:dyDescent="0.25">
      <c r="O1513" s="99"/>
    </row>
    <row r="1514" spans="15:15" x14ac:dyDescent="0.25">
      <c r="O1514" s="99"/>
    </row>
    <row r="1515" spans="15:15" x14ac:dyDescent="0.25">
      <c r="O1515" s="99"/>
    </row>
    <row r="1516" spans="15:15" x14ac:dyDescent="0.25">
      <c r="O1516" s="99"/>
    </row>
    <row r="1517" spans="15:15" x14ac:dyDescent="0.25">
      <c r="O1517" s="99"/>
    </row>
    <row r="1518" spans="15:15" x14ac:dyDescent="0.25">
      <c r="O1518" s="99"/>
    </row>
    <row r="1519" spans="15:15" x14ac:dyDescent="0.25">
      <c r="O1519" s="99"/>
    </row>
    <row r="1520" spans="15:15" x14ac:dyDescent="0.25">
      <c r="O1520" s="99"/>
    </row>
    <row r="1521" spans="15:15" x14ac:dyDescent="0.25">
      <c r="O1521" s="99"/>
    </row>
    <row r="1522" spans="15:15" x14ac:dyDescent="0.25">
      <c r="O1522" s="99"/>
    </row>
    <row r="1523" spans="15:15" x14ac:dyDescent="0.25">
      <c r="O1523" s="99"/>
    </row>
    <row r="1524" spans="15:15" x14ac:dyDescent="0.25">
      <c r="O1524" s="99"/>
    </row>
    <row r="1525" spans="15:15" x14ac:dyDescent="0.25">
      <c r="O1525" s="99"/>
    </row>
    <row r="1526" spans="15:15" x14ac:dyDescent="0.25">
      <c r="O1526" s="99"/>
    </row>
    <row r="1527" spans="15:15" x14ac:dyDescent="0.25">
      <c r="O1527" s="99"/>
    </row>
    <row r="1528" spans="15:15" x14ac:dyDescent="0.25">
      <c r="O1528" s="99"/>
    </row>
    <row r="1529" spans="15:15" x14ac:dyDescent="0.25">
      <c r="O1529" s="99"/>
    </row>
    <row r="1530" spans="15:15" x14ac:dyDescent="0.25">
      <c r="O1530" s="99"/>
    </row>
    <row r="1531" spans="15:15" x14ac:dyDescent="0.25">
      <c r="O1531" s="99"/>
    </row>
    <row r="1532" spans="15:15" x14ac:dyDescent="0.25">
      <c r="O1532" s="99"/>
    </row>
    <row r="1533" spans="15:15" x14ac:dyDescent="0.25">
      <c r="O1533" s="99"/>
    </row>
    <row r="1534" spans="15:15" x14ac:dyDescent="0.25">
      <c r="O1534" s="99"/>
    </row>
    <row r="1535" spans="15:15" x14ac:dyDescent="0.25">
      <c r="O1535" s="99"/>
    </row>
    <row r="1536" spans="15:15" x14ac:dyDescent="0.25">
      <c r="O1536" s="99"/>
    </row>
    <row r="1537" spans="15:15" x14ac:dyDescent="0.25">
      <c r="O1537" s="99"/>
    </row>
    <row r="1538" spans="15:15" x14ac:dyDescent="0.25">
      <c r="O1538" s="99"/>
    </row>
    <row r="1539" spans="15:15" x14ac:dyDescent="0.25">
      <c r="O1539" s="99"/>
    </row>
    <row r="1540" spans="15:15" x14ac:dyDescent="0.25">
      <c r="O1540" s="99"/>
    </row>
    <row r="1541" spans="15:15" x14ac:dyDescent="0.25">
      <c r="O1541" s="99"/>
    </row>
    <row r="1542" spans="15:15" x14ac:dyDescent="0.25">
      <c r="O1542" s="99"/>
    </row>
    <row r="1543" spans="15:15" x14ac:dyDescent="0.25">
      <c r="O1543" s="99"/>
    </row>
    <row r="1544" spans="15:15" x14ac:dyDescent="0.25">
      <c r="O1544" s="99"/>
    </row>
    <row r="1545" spans="15:15" x14ac:dyDescent="0.25">
      <c r="O1545" s="99"/>
    </row>
    <row r="1546" spans="15:15" x14ac:dyDescent="0.25">
      <c r="O1546" s="99"/>
    </row>
    <row r="1547" spans="15:15" x14ac:dyDescent="0.25">
      <c r="O1547" s="99"/>
    </row>
    <row r="1548" spans="15:15" x14ac:dyDescent="0.25">
      <c r="O1548" s="99"/>
    </row>
    <row r="1549" spans="15:15" x14ac:dyDescent="0.25">
      <c r="O1549" s="99"/>
    </row>
    <row r="1550" spans="15:15" x14ac:dyDescent="0.25">
      <c r="O1550" s="99"/>
    </row>
    <row r="1551" spans="15:15" x14ac:dyDescent="0.25">
      <c r="O1551" s="99"/>
    </row>
    <row r="1552" spans="15:15" x14ac:dyDescent="0.25">
      <c r="O1552" s="99"/>
    </row>
    <row r="1553" spans="15:15" x14ac:dyDescent="0.25">
      <c r="O1553" s="99"/>
    </row>
    <row r="1554" spans="15:15" x14ac:dyDescent="0.25">
      <c r="O1554" s="99"/>
    </row>
    <row r="1555" spans="15:15" x14ac:dyDescent="0.25">
      <c r="O1555" s="99"/>
    </row>
    <row r="1556" spans="15:15" x14ac:dyDescent="0.25">
      <c r="O1556" s="99"/>
    </row>
    <row r="1557" spans="15:15" x14ac:dyDescent="0.25">
      <c r="O1557" s="99"/>
    </row>
    <row r="1558" spans="15:15" x14ac:dyDescent="0.25">
      <c r="O1558" s="99"/>
    </row>
    <row r="1559" spans="15:15" x14ac:dyDescent="0.25">
      <c r="O1559" s="99"/>
    </row>
    <row r="1560" spans="15:15" x14ac:dyDescent="0.25">
      <c r="O1560" s="99"/>
    </row>
    <row r="1561" spans="15:15" x14ac:dyDescent="0.25">
      <c r="O1561" s="99"/>
    </row>
    <row r="1562" spans="15:15" x14ac:dyDescent="0.25">
      <c r="O1562" s="99"/>
    </row>
    <row r="1563" spans="15:15" x14ac:dyDescent="0.25">
      <c r="O1563" s="99"/>
    </row>
    <row r="1564" spans="15:15" x14ac:dyDescent="0.25">
      <c r="O1564" s="99"/>
    </row>
    <row r="1565" spans="15:15" x14ac:dyDescent="0.25">
      <c r="O1565" s="99"/>
    </row>
    <row r="1566" spans="15:15" x14ac:dyDescent="0.25">
      <c r="O1566" s="99"/>
    </row>
    <row r="1567" spans="15:15" x14ac:dyDescent="0.25">
      <c r="O1567" s="99"/>
    </row>
    <row r="1568" spans="15:15" x14ac:dyDescent="0.25">
      <c r="O1568" s="99"/>
    </row>
    <row r="1569" spans="15:15" x14ac:dyDescent="0.25">
      <c r="O1569" s="99"/>
    </row>
    <row r="1570" spans="15:15" x14ac:dyDescent="0.25">
      <c r="O1570" s="99"/>
    </row>
    <row r="1571" spans="15:15" x14ac:dyDescent="0.25">
      <c r="O1571" s="99"/>
    </row>
    <row r="1572" spans="15:15" x14ac:dyDescent="0.25">
      <c r="O1572" s="99"/>
    </row>
    <row r="1573" spans="15:15" x14ac:dyDescent="0.25">
      <c r="O1573" s="99"/>
    </row>
    <row r="1574" spans="15:15" x14ac:dyDescent="0.25">
      <c r="O1574" s="99"/>
    </row>
    <row r="1575" spans="15:15" x14ac:dyDescent="0.25">
      <c r="O1575" s="99"/>
    </row>
    <row r="1576" spans="15:15" x14ac:dyDescent="0.25">
      <c r="O1576" s="99"/>
    </row>
    <row r="1577" spans="15:15" x14ac:dyDescent="0.25">
      <c r="O1577" s="99"/>
    </row>
    <row r="1578" spans="15:15" x14ac:dyDescent="0.25">
      <c r="O1578" s="99"/>
    </row>
    <row r="1579" spans="15:15" x14ac:dyDescent="0.25">
      <c r="O1579" s="99"/>
    </row>
    <row r="1580" spans="15:15" x14ac:dyDescent="0.25">
      <c r="O1580" s="99"/>
    </row>
    <row r="1581" spans="15:15" x14ac:dyDescent="0.25">
      <c r="O1581" s="99"/>
    </row>
    <row r="1582" spans="15:15" x14ac:dyDescent="0.25">
      <c r="O1582" s="99"/>
    </row>
    <row r="1583" spans="15:15" x14ac:dyDescent="0.25">
      <c r="O1583" s="99"/>
    </row>
    <row r="1584" spans="15:15" x14ac:dyDescent="0.25">
      <c r="O1584" s="99"/>
    </row>
    <row r="1585" spans="15:15" x14ac:dyDescent="0.25">
      <c r="O1585" s="99"/>
    </row>
    <row r="1586" spans="15:15" x14ac:dyDescent="0.25">
      <c r="O1586" s="99"/>
    </row>
    <row r="1587" spans="15:15" x14ac:dyDescent="0.25">
      <c r="O1587" s="99"/>
    </row>
    <row r="1588" spans="15:15" x14ac:dyDescent="0.25">
      <c r="O1588" s="99"/>
    </row>
    <row r="1589" spans="15:15" x14ac:dyDescent="0.25">
      <c r="O1589" s="99"/>
    </row>
    <row r="1590" spans="15:15" x14ac:dyDescent="0.25">
      <c r="O1590" s="99"/>
    </row>
    <row r="1591" spans="15:15" x14ac:dyDescent="0.25">
      <c r="O1591" s="99"/>
    </row>
    <row r="1592" spans="15:15" x14ac:dyDescent="0.25">
      <c r="O1592" s="99"/>
    </row>
    <row r="1593" spans="15:15" x14ac:dyDescent="0.25">
      <c r="O1593" s="99"/>
    </row>
    <row r="1594" spans="15:15" x14ac:dyDescent="0.25">
      <c r="O1594" s="99"/>
    </row>
    <row r="1595" spans="15:15" x14ac:dyDescent="0.25">
      <c r="O1595" s="99"/>
    </row>
    <row r="1596" spans="15:15" x14ac:dyDescent="0.25">
      <c r="O1596" s="99"/>
    </row>
    <row r="1597" spans="15:15" x14ac:dyDescent="0.25">
      <c r="O1597" s="99"/>
    </row>
    <row r="1598" spans="15:15" x14ac:dyDescent="0.25">
      <c r="O1598" s="99"/>
    </row>
    <row r="1599" spans="15:15" x14ac:dyDescent="0.25">
      <c r="O1599" s="99"/>
    </row>
    <row r="1600" spans="15:15" x14ac:dyDescent="0.25">
      <c r="O1600" s="99"/>
    </row>
    <row r="1601" spans="15:15" x14ac:dyDescent="0.25">
      <c r="O1601" s="99"/>
    </row>
    <row r="1602" spans="15:15" x14ac:dyDescent="0.25">
      <c r="O1602" s="99"/>
    </row>
    <row r="1603" spans="15:15" x14ac:dyDescent="0.25">
      <c r="O1603" s="99"/>
    </row>
    <row r="1604" spans="15:15" x14ac:dyDescent="0.25">
      <c r="O1604" s="99"/>
    </row>
    <row r="1605" spans="15:15" x14ac:dyDescent="0.25">
      <c r="O1605" s="99"/>
    </row>
    <row r="1606" spans="15:15" x14ac:dyDescent="0.25">
      <c r="O1606" s="99"/>
    </row>
    <row r="1607" spans="15:15" x14ac:dyDescent="0.25">
      <c r="O1607" s="99"/>
    </row>
    <row r="1608" spans="15:15" x14ac:dyDescent="0.25">
      <c r="O1608" s="99"/>
    </row>
    <row r="1609" spans="15:15" x14ac:dyDescent="0.25">
      <c r="O1609" s="99"/>
    </row>
    <row r="1610" spans="15:15" x14ac:dyDescent="0.25">
      <c r="O1610" s="99"/>
    </row>
    <row r="1611" spans="15:15" x14ac:dyDescent="0.25">
      <c r="O1611" s="99"/>
    </row>
    <row r="1612" spans="15:15" x14ac:dyDescent="0.25">
      <c r="O1612" s="99"/>
    </row>
    <row r="1613" spans="15:15" x14ac:dyDescent="0.25">
      <c r="O1613" s="99"/>
    </row>
    <row r="1614" spans="15:15" x14ac:dyDescent="0.25">
      <c r="O1614" s="99"/>
    </row>
    <row r="1615" spans="15:15" x14ac:dyDescent="0.25">
      <c r="O1615" s="99"/>
    </row>
    <row r="1616" spans="15:15" x14ac:dyDescent="0.25">
      <c r="O1616" s="99"/>
    </row>
    <row r="1617" spans="15:15" x14ac:dyDescent="0.25">
      <c r="O1617" s="99"/>
    </row>
    <row r="1618" spans="15:15" x14ac:dyDescent="0.25">
      <c r="O1618" s="99"/>
    </row>
    <row r="1619" spans="15:15" x14ac:dyDescent="0.25">
      <c r="O1619" s="99"/>
    </row>
    <row r="1620" spans="15:15" x14ac:dyDescent="0.25">
      <c r="O1620" s="99"/>
    </row>
    <row r="1621" spans="15:15" x14ac:dyDescent="0.25">
      <c r="O1621" s="99"/>
    </row>
    <row r="1622" spans="15:15" x14ac:dyDescent="0.25">
      <c r="O1622" s="99"/>
    </row>
    <row r="1623" spans="15:15" x14ac:dyDescent="0.25">
      <c r="O1623" s="99"/>
    </row>
    <row r="1624" spans="15:15" x14ac:dyDescent="0.25">
      <c r="O1624" s="99"/>
    </row>
    <row r="1625" spans="15:15" x14ac:dyDescent="0.25">
      <c r="O1625" s="99"/>
    </row>
    <row r="1626" spans="15:15" x14ac:dyDescent="0.25">
      <c r="O1626" s="99"/>
    </row>
    <row r="1627" spans="15:15" x14ac:dyDescent="0.25">
      <c r="O1627" s="99"/>
    </row>
    <row r="1628" spans="15:15" x14ac:dyDescent="0.25">
      <c r="O1628" s="99"/>
    </row>
    <row r="1629" spans="15:15" x14ac:dyDescent="0.25">
      <c r="O1629" s="99"/>
    </row>
    <row r="1630" spans="15:15" x14ac:dyDescent="0.25">
      <c r="O1630" s="99"/>
    </row>
    <row r="1631" spans="15:15" x14ac:dyDescent="0.25">
      <c r="O1631" s="99"/>
    </row>
    <row r="1632" spans="15:15" x14ac:dyDescent="0.25">
      <c r="O1632" s="99"/>
    </row>
    <row r="1633" spans="15:15" x14ac:dyDescent="0.25">
      <c r="O1633" s="99"/>
    </row>
    <row r="1634" spans="15:15" x14ac:dyDescent="0.25">
      <c r="O1634" s="99"/>
    </row>
    <row r="1635" spans="15:15" x14ac:dyDescent="0.25">
      <c r="O1635" s="99"/>
    </row>
    <row r="1636" spans="15:15" x14ac:dyDescent="0.25">
      <c r="O1636" s="99"/>
    </row>
    <row r="1637" spans="15:15" x14ac:dyDescent="0.25">
      <c r="O1637" s="99"/>
    </row>
    <row r="1638" spans="15:15" x14ac:dyDescent="0.25">
      <c r="O1638" s="99"/>
    </row>
    <row r="1639" spans="15:15" x14ac:dyDescent="0.25">
      <c r="O1639" s="99"/>
    </row>
    <row r="1640" spans="15:15" x14ac:dyDescent="0.25">
      <c r="O1640" s="99"/>
    </row>
    <row r="1641" spans="15:15" x14ac:dyDescent="0.25">
      <c r="O1641" s="99"/>
    </row>
    <row r="1642" spans="15:15" x14ac:dyDescent="0.25">
      <c r="O1642" s="99"/>
    </row>
    <row r="1643" spans="15:15" x14ac:dyDescent="0.25">
      <c r="O1643" s="99"/>
    </row>
    <row r="1644" spans="15:15" x14ac:dyDescent="0.25">
      <c r="O1644" s="99"/>
    </row>
    <row r="1645" spans="15:15" x14ac:dyDescent="0.25">
      <c r="O1645" s="99"/>
    </row>
    <row r="1646" spans="15:15" x14ac:dyDescent="0.25">
      <c r="O1646" s="99"/>
    </row>
    <row r="1647" spans="15:15" x14ac:dyDescent="0.25">
      <c r="O1647" s="99"/>
    </row>
    <row r="1648" spans="15:15" x14ac:dyDescent="0.25">
      <c r="O1648" s="99"/>
    </row>
    <row r="1649" spans="15:15" x14ac:dyDescent="0.25">
      <c r="O1649" s="99"/>
    </row>
    <row r="1650" spans="15:15" x14ac:dyDescent="0.25">
      <c r="O1650" s="99"/>
    </row>
    <row r="1651" spans="15:15" x14ac:dyDescent="0.25">
      <c r="O1651" s="99"/>
    </row>
    <row r="1652" spans="15:15" x14ac:dyDescent="0.25">
      <c r="O1652" s="99"/>
    </row>
    <row r="1653" spans="15:15" x14ac:dyDescent="0.25">
      <c r="O1653" s="99"/>
    </row>
    <row r="1654" spans="15:15" x14ac:dyDescent="0.25">
      <c r="O1654" s="99"/>
    </row>
    <row r="1655" spans="15:15" x14ac:dyDescent="0.25">
      <c r="O1655" s="99"/>
    </row>
    <row r="1656" spans="15:15" x14ac:dyDescent="0.25">
      <c r="O1656" s="99"/>
    </row>
    <row r="1657" spans="15:15" x14ac:dyDescent="0.25">
      <c r="O1657" s="99"/>
    </row>
    <row r="1658" spans="15:15" x14ac:dyDescent="0.25">
      <c r="O1658" s="99"/>
    </row>
    <row r="1659" spans="15:15" x14ac:dyDescent="0.25">
      <c r="O1659" s="99"/>
    </row>
    <row r="1660" spans="15:15" x14ac:dyDescent="0.25">
      <c r="O1660" s="99"/>
    </row>
    <row r="1661" spans="15:15" x14ac:dyDescent="0.25">
      <c r="O1661" s="99"/>
    </row>
    <row r="1662" spans="15:15" x14ac:dyDescent="0.25">
      <c r="O1662" s="99"/>
    </row>
    <row r="1663" spans="15:15" x14ac:dyDescent="0.25">
      <c r="O1663" s="99"/>
    </row>
    <row r="1664" spans="15:15" x14ac:dyDescent="0.25">
      <c r="O1664" s="99"/>
    </row>
    <row r="1665" spans="15:15" x14ac:dyDescent="0.25">
      <c r="O1665" s="99"/>
    </row>
    <row r="1666" spans="15:15" x14ac:dyDescent="0.25">
      <c r="O1666" s="99"/>
    </row>
    <row r="1667" spans="15:15" x14ac:dyDescent="0.25">
      <c r="O1667" s="99"/>
    </row>
    <row r="1668" spans="15:15" x14ac:dyDescent="0.25">
      <c r="O1668" s="99"/>
    </row>
    <row r="1669" spans="15:15" x14ac:dyDescent="0.25">
      <c r="O1669" s="99"/>
    </row>
    <row r="1670" spans="15:15" x14ac:dyDescent="0.25">
      <c r="O1670" s="99"/>
    </row>
    <row r="1671" spans="15:15" x14ac:dyDescent="0.25">
      <c r="O1671" s="99"/>
    </row>
    <row r="1672" spans="15:15" x14ac:dyDescent="0.25">
      <c r="O1672" s="99"/>
    </row>
    <row r="1673" spans="15:15" x14ac:dyDescent="0.25">
      <c r="O1673" s="99"/>
    </row>
    <row r="1674" spans="15:15" x14ac:dyDescent="0.25">
      <c r="O1674" s="99"/>
    </row>
    <row r="1675" spans="15:15" x14ac:dyDescent="0.25">
      <c r="O1675" s="99"/>
    </row>
    <row r="1676" spans="15:15" x14ac:dyDescent="0.25">
      <c r="O1676" s="99"/>
    </row>
    <row r="1677" spans="15:15" x14ac:dyDescent="0.25">
      <c r="O1677" s="99"/>
    </row>
    <row r="1678" spans="15:15" x14ac:dyDescent="0.25">
      <c r="O1678" s="99"/>
    </row>
    <row r="1679" spans="15:15" x14ac:dyDescent="0.25">
      <c r="O1679" s="99"/>
    </row>
    <row r="1680" spans="15:15" x14ac:dyDescent="0.25">
      <c r="O1680" s="99"/>
    </row>
    <row r="1681" spans="15:15" x14ac:dyDescent="0.25">
      <c r="O1681" s="99"/>
    </row>
    <row r="1682" spans="15:15" x14ac:dyDescent="0.25">
      <c r="O1682" s="99"/>
    </row>
    <row r="1683" spans="15:15" x14ac:dyDescent="0.25">
      <c r="O1683" s="99"/>
    </row>
    <row r="1684" spans="15:15" x14ac:dyDescent="0.25">
      <c r="O1684" s="99"/>
    </row>
    <row r="1685" spans="15:15" x14ac:dyDescent="0.25">
      <c r="O1685" s="99"/>
    </row>
    <row r="1686" spans="15:15" x14ac:dyDescent="0.25">
      <c r="O1686" s="99"/>
    </row>
    <row r="1687" spans="15:15" x14ac:dyDescent="0.25">
      <c r="O1687" s="99"/>
    </row>
    <row r="1688" spans="15:15" x14ac:dyDescent="0.25">
      <c r="O1688" s="99"/>
    </row>
    <row r="1689" spans="15:15" x14ac:dyDescent="0.25">
      <c r="O1689" s="99"/>
    </row>
    <row r="1690" spans="15:15" x14ac:dyDescent="0.25">
      <c r="O1690" s="99"/>
    </row>
    <row r="1691" spans="15:15" x14ac:dyDescent="0.25">
      <c r="O1691" s="99"/>
    </row>
    <row r="1692" spans="15:15" x14ac:dyDescent="0.25">
      <c r="O1692" s="99"/>
    </row>
    <row r="1693" spans="15:15" x14ac:dyDescent="0.25">
      <c r="O1693" s="99"/>
    </row>
    <row r="1694" spans="15:15" x14ac:dyDescent="0.25">
      <c r="O1694" s="99"/>
    </row>
    <row r="1695" spans="15:15" x14ac:dyDescent="0.25">
      <c r="O1695" s="99"/>
    </row>
    <row r="1696" spans="15:15" x14ac:dyDescent="0.25">
      <c r="O1696" s="99"/>
    </row>
    <row r="1697" spans="15:15" x14ac:dyDescent="0.25">
      <c r="O1697" s="99"/>
    </row>
    <row r="1698" spans="15:15" x14ac:dyDescent="0.25">
      <c r="O1698" s="99"/>
    </row>
    <row r="1699" spans="15:15" x14ac:dyDescent="0.25">
      <c r="O1699" s="99"/>
    </row>
    <row r="1700" spans="15:15" x14ac:dyDescent="0.25">
      <c r="O1700" s="99"/>
    </row>
    <row r="1701" spans="15:15" x14ac:dyDescent="0.25">
      <c r="O1701" s="99"/>
    </row>
    <row r="1702" spans="15:15" x14ac:dyDescent="0.25">
      <c r="O1702" s="99"/>
    </row>
    <row r="1703" spans="15:15" x14ac:dyDescent="0.25">
      <c r="O1703" s="99"/>
    </row>
    <row r="1704" spans="15:15" x14ac:dyDescent="0.25">
      <c r="O1704" s="99"/>
    </row>
    <row r="1705" spans="15:15" x14ac:dyDescent="0.25">
      <c r="O1705" s="99"/>
    </row>
    <row r="1706" spans="15:15" x14ac:dyDescent="0.25">
      <c r="O1706" s="99"/>
    </row>
    <row r="1707" spans="15:15" x14ac:dyDescent="0.25">
      <c r="O1707" s="99"/>
    </row>
    <row r="1708" spans="15:15" x14ac:dyDescent="0.25">
      <c r="O1708" s="99"/>
    </row>
    <row r="1709" spans="15:15" x14ac:dyDescent="0.25">
      <c r="O1709" s="99"/>
    </row>
    <row r="1710" spans="15:15" x14ac:dyDescent="0.25">
      <c r="O1710" s="99"/>
    </row>
    <row r="1711" spans="15:15" x14ac:dyDescent="0.25">
      <c r="O1711" s="99"/>
    </row>
    <row r="1712" spans="15:15" x14ac:dyDescent="0.25">
      <c r="O1712" s="99"/>
    </row>
    <row r="1713" spans="15:15" x14ac:dyDescent="0.25">
      <c r="O1713" s="99"/>
    </row>
    <row r="1714" spans="15:15" x14ac:dyDescent="0.25">
      <c r="O1714" s="99"/>
    </row>
    <row r="1715" spans="15:15" x14ac:dyDescent="0.25">
      <c r="O1715" s="99"/>
    </row>
    <row r="1716" spans="15:15" x14ac:dyDescent="0.25">
      <c r="O1716" s="99"/>
    </row>
    <row r="1717" spans="15:15" x14ac:dyDescent="0.25">
      <c r="O1717" s="99"/>
    </row>
    <row r="1718" spans="15:15" x14ac:dyDescent="0.25">
      <c r="O1718" s="99"/>
    </row>
    <row r="1719" spans="15:15" x14ac:dyDescent="0.25">
      <c r="O1719" s="99"/>
    </row>
    <row r="1720" spans="15:15" x14ac:dyDescent="0.25">
      <c r="O1720" s="99"/>
    </row>
    <row r="1721" spans="15:15" x14ac:dyDescent="0.25">
      <c r="O1721" s="99"/>
    </row>
    <row r="1722" spans="15:15" x14ac:dyDescent="0.25">
      <c r="O1722" s="99"/>
    </row>
    <row r="1723" spans="15:15" x14ac:dyDescent="0.25">
      <c r="O1723" s="99"/>
    </row>
    <row r="1724" spans="15:15" x14ac:dyDescent="0.25">
      <c r="O1724" s="99"/>
    </row>
    <row r="1725" spans="15:15" x14ac:dyDescent="0.25">
      <c r="O1725" s="99"/>
    </row>
    <row r="1726" spans="15:15" x14ac:dyDescent="0.25">
      <c r="O1726" s="99"/>
    </row>
    <row r="1727" spans="15:15" x14ac:dyDescent="0.25">
      <c r="O1727" s="99"/>
    </row>
    <row r="1728" spans="15:15" x14ac:dyDescent="0.25">
      <c r="O1728" s="99"/>
    </row>
    <row r="1729" spans="15:15" x14ac:dyDescent="0.25">
      <c r="O1729" s="99"/>
    </row>
    <row r="1730" spans="15:15" x14ac:dyDescent="0.25">
      <c r="O1730" s="99"/>
    </row>
    <row r="1731" spans="15:15" x14ac:dyDescent="0.25">
      <c r="O1731" s="99"/>
    </row>
    <row r="1732" spans="15:15" x14ac:dyDescent="0.25">
      <c r="O1732" s="99"/>
    </row>
    <row r="1733" spans="15:15" x14ac:dyDescent="0.25">
      <c r="O1733" s="99"/>
    </row>
    <row r="1734" spans="15:15" x14ac:dyDescent="0.25">
      <c r="O1734" s="99"/>
    </row>
    <row r="1735" spans="15:15" x14ac:dyDescent="0.25">
      <c r="O1735" s="99"/>
    </row>
    <row r="1736" spans="15:15" x14ac:dyDescent="0.25">
      <c r="O1736" s="99"/>
    </row>
    <row r="1737" spans="15:15" x14ac:dyDescent="0.25">
      <c r="O1737" s="99"/>
    </row>
    <row r="1738" spans="15:15" x14ac:dyDescent="0.25">
      <c r="O1738" s="99"/>
    </row>
    <row r="1739" spans="15:15" x14ac:dyDescent="0.25">
      <c r="O1739" s="99"/>
    </row>
    <row r="1740" spans="15:15" x14ac:dyDescent="0.25">
      <c r="O1740" s="99"/>
    </row>
    <row r="1741" spans="15:15" x14ac:dyDescent="0.25">
      <c r="O1741" s="99"/>
    </row>
    <row r="1742" spans="15:15" x14ac:dyDescent="0.25">
      <c r="O1742" s="99"/>
    </row>
    <row r="1743" spans="15:15" x14ac:dyDescent="0.25">
      <c r="O1743" s="99"/>
    </row>
    <row r="1744" spans="15:15" x14ac:dyDescent="0.25">
      <c r="O1744" s="99"/>
    </row>
    <row r="1745" spans="15:15" x14ac:dyDescent="0.25">
      <c r="O1745" s="99"/>
    </row>
    <row r="1746" spans="15:15" x14ac:dyDescent="0.25">
      <c r="O1746" s="99"/>
    </row>
    <row r="1747" spans="15:15" x14ac:dyDescent="0.25">
      <c r="O1747" s="99"/>
    </row>
    <row r="1748" spans="15:15" x14ac:dyDescent="0.25">
      <c r="O1748" s="99"/>
    </row>
    <row r="1749" spans="15:15" x14ac:dyDescent="0.25">
      <c r="O1749" s="99"/>
    </row>
    <row r="1750" spans="15:15" x14ac:dyDescent="0.25">
      <c r="O1750" s="99"/>
    </row>
    <row r="1751" spans="15:15" x14ac:dyDescent="0.25">
      <c r="O1751" s="99"/>
    </row>
    <row r="1752" spans="15:15" x14ac:dyDescent="0.25">
      <c r="O1752" s="99"/>
    </row>
    <row r="1753" spans="15:15" x14ac:dyDescent="0.25">
      <c r="O1753" s="99"/>
    </row>
    <row r="1754" spans="15:15" x14ac:dyDescent="0.25">
      <c r="O1754" s="99"/>
    </row>
    <row r="1755" spans="15:15" x14ac:dyDescent="0.25">
      <c r="O1755" s="99"/>
    </row>
    <row r="1756" spans="15:15" x14ac:dyDescent="0.25">
      <c r="O1756" s="99"/>
    </row>
    <row r="1757" spans="15:15" x14ac:dyDescent="0.25">
      <c r="O1757" s="99"/>
    </row>
    <row r="1758" spans="15:15" x14ac:dyDescent="0.25">
      <c r="O1758" s="99"/>
    </row>
    <row r="1759" spans="15:15" x14ac:dyDescent="0.25">
      <c r="O1759" s="99"/>
    </row>
    <row r="1760" spans="15:15" x14ac:dyDescent="0.25">
      <c r="O1760" s="99"/>
    </row>
    <row r="1761" spans="15:15" x14ac:dyDescent="0.25">
      <c r="O1761" s="99"/>
    </row>
    <row r="1762" spans="15:15" x14ac:dyDescent="0.25">
      <c r="O1762" s="99"/>
    </row>
    <row r="1763" spans="15:15" x14ac:dyDescent="0.25">
      <c r="O1763" s="99"/>
    </row>
    <row r="1764" spans="15:15" x14ac:dyDescent="0.25">
      <c r="O1764" s="99"/>
    </row>
    <row r="1765" spans="15:15" x14ac:dyDescent="0.25">
      <c r="O1765" s="99"/>
    </row>
    <row r="1766" spans="15:15" x14ac:dyDescent="0.25">
      <c r="O1766" s="99"/>
    </row>
    <row r="1767" spans="15:15" x14ac:dyDescent="0.25">
      <c r="O1767" s="99"/>
    </row>
    <row r="1768" spans="15:15" x14ac:dyDescent="0.25">
      <c r="O1768" s="99"/>
    </row>
    <row r="1769" spans="15:15" x14ac:dyDescent="0.25">
      <c r="O1769" s="99"/>
    </row>
    <row r="1770" spans="15:15" x14ac:dyDescent="0.25">
      <c r="O1770" s="99"/>
    </row>
    <row r="1771" spans="15:15" x14ac:dyDescent="0.25">
      <c r="O1771" s="99"/>
    </row>
    <row r="1772" spans="15:15" x14ac:dyDescent="0.25">
      <c r="O1772" s="99"/>
    </row>
    <row r="1773" spans="15:15" x14ac:dyDescent="0.25">
      <c r="O1773" s="99"/>
    </row>
    <row r="1774" spans="15:15" x14ac:dyDescent="0.25">
      <c r="O1774" s="99"/>
    </row>
    <row r="1775" spans="15:15" x14ac:dyDescent="0.25">
      <c r="O1775" s="99"/>
    </row>
    <row r="1776" spans="15:15" x14ac:dyDescent="0.25">
      <c r="O1776" s="99"/>
    </row>
    <row r="1777" spans="15:15" x14ac:dyDescent="0.25">
      <c r="O1777" s="99"/>
    </row>
    <row r="1778" spans="15:15" x14ac:dyDescent="0.25">
      <c r="O1778" s="99"/>
    </row>
    <row r="1779" spans="15:15" x14ac:dyDescent="0.25">
      <c r="O1779" s="99"/>
    </row>
    <row r="1780" spans="15:15" x14ac:dyDescent="0.25">
      <c r="O1780" s="99"/>
    </row>
    <row r="1781" spans="15:15" x14ac:dyDescent="0.25">
      <c r="O1781" s="99"/>
    </row>
    <row r="1782" spans="15:15" x14ac:dyDescent="0.25">
      <c r="O1782" s="99"/>
    </row>
    <row r="1783" spans="15:15" x14ac:dyDescent="0.25">
      <c r="O1783" s="99"/>
    </row>
    <row r="1784" spans="15:15" x14ac:dyDescent="0.25">
      <c r="O1784" s="99"/>
    </row>
    <row r="1785" spans="15:15" x14ac:dyDescent="0.25">
      <c r="O1785" s="99"/>
    </row>
    <row r="1786" spans="15:15" x14ac:dyDescent="0.25">
      <c r="O1786" s="99"/>
    </row>
    <row r="1787" spans="15:15" x14ac:dyDescent="0.25">
      <c r="O1787" s="99"/>
    </row>
    <row r="1788" spans="15:15" x14ac:dyDescent="0.25">
      <c r="O1788" s="99"/>
    </row>
    <row r="1789" spans="15:15" x14ac:dyDescent="0.25">
      <c r="O1789" s="99"/>
    </row>
    <row r="1790" spans="15:15" x14ac:dyDescent="0.25">
      <c r="O1790" s="99"/>
    </row>
    <row r="1791" spans="15:15" x14ac:dyDescent="0.25">
      <c r="O1791" s="99"/>
    </row>
    <row r="1792" spans="15:15" x14ac:dyDescent="0.25">
      <c r="O1792" s="99"/>
    </row>
    <row r="1793" spans="15:15" x14ac:dyDescent="0.25">
      <c r="O1793" s="99"/>
    </row>
    <row r="1794" spans="15:15" x14ac:dyDescent="0.25">
      <c r="O1794" s="99"/>
    </row>
    <row r="1795" spans="15:15" x14ac:dyDescent="0.25">
      <c r="O1795" s="99"/>
    </row>
    <row r="1796" spans="15:15" x14ac:dyDescent="0.25">
      <c r="O1796" s="99"/>
    </row>
    <row r="1797" spans="15:15" x14ac:dyDescent="0.25">
      <c r="O1797" s="99"/>
    </row>
    <row r="1798" spans="15:15" x14ac:dyDescent="0.25">
      <c r="O1798" s="99"/>
    </row>
    <row r="1799" spans="15:15" x14ac:dyDescent="0.25">
      <c r="O1799" s="99"/>
    </row>
    <row r="1800" spans="15:15" x14ac:dyDescent="0.25">
      <c r="O1800" s="99"/>
    </row>
    <row r="1801" spans="15:15" x14ac:dyDescent="0.25">
      <c r="O1801" s="99"/>
    </row>
    <row r="1802" spans="15:15" x14ac:dyDescent="0.25">
      <c r="O1802" s="99"/>
    </row>
    <row r="1803" spans="15:15" x14ac:dyDescent="0.25">
      <c r="O1803" s="99"/>
    </row>
    <row r="1804" spans="15:15" x14ac:dyDescent="0.25">
      <c r="O1804" s="99"/>
    </row>
    <row r="1805" spans="15:15" x14ac:dyDescent="0.25">
      <c r="O1805" s="99"/>
    </row>
    <row r="1806" spans="15:15" x14ac:dyDescent="0.25">
      <c r="O1806" s="99"/>
    </row>
    <row r="1807" spans="15:15" x14ac:dyDescent="0.25">
      <c r="O1807" s="99"/>
    </row>
    <row r="1808" spans="15:15" x14ac:dyDescent="0.25">
      <c r="O1808" s="99"/>
    </row>
    <row r="1809" spans="15:15" x14ac:dyDescent="0.25">
      <c r="O1809" s="99"/>
    </row>
    <row r="1810" spans="15:15" x14ac:dyDescent="0.25">
      <c r="O1810" s="99"/>
    </row>
    <row r="1811" spans="15:15" x14ac:dyDescent="0.25">
      <c r="O1811" s="99"/>
    </row>
    <row r="1812" spans="15:15" x14ac:dyDescent="0.25">
      <c r="O1812" s="99"/>
    </row>
    <row r="1813" spans="15:15" x14ac:dyDescent="0.25">
      <c r="O1813" s="99"/>
    </row>
    <row r="1814" spans="15:15" x14ac:dyDescent="0.25">
      <c r="O1814" s="99"/>
    </row>
    <row r="1815" spans="15:15" x14ac:dyDescent="0.25">
      <c r="O1815" s="99"/>
    </row>
    <row r="1816" spans="15:15" x14ac:dyDescent="0.25">
      <c r="O1816" s="99"/>
    </row>
    <row r="1817" spans="15:15" x14ac:dyDescent="0.25">
      <c r="O1817" s="99"/>
    </row>
    <row r="1818" spans="15:15" x14ac:dyDescent="0.25">
      <c r="O1818" s="99"/>
    </row>
    <row r="1819" spans="15:15" x14ac:dyDescent="0.25">
      <c r="O1819" s="99"/>
    </row>
    <row r="1820" spans="15:15" x14ac:dyDescent="0.25">
      <c r="O1820" s="99"/>
    </row>
    <row r="1821" spans="15:15" x14ac:dyDescent="0.25">
      <c r="O1821" s="99"/>
    </row>
    <row r="1822" spans="15:15" x14ac:dyDescent="0.25">
      <c r="O1822" s="99"/>
    </row>
    <row r="1823" spans="15:15" x14ac:dyDescent="0.25">
      <c r="O1823" s="99"/>
    </row>
    <row r="1824" spans="15:15" x14ac:dyDescent="0.25">
      <c r="O1824" s="99"/>
    </row>
    <row r="1825" spans="15:15" x14ac:dyDescent="0.25">
      <c r="O1825" s="99"/>
    </row>
    <row r="1826" spans="15:15" x14ac:dyDescent="0.25">
      <c r="O1826" s="99"/>
    </row>
    <row r="1827" spans="15:15" x14ac:dyDescent="0.25">
      <c r="O1827" s="99"/>
    </row>
    <row r="1828" spans="15:15" x14ac:dyDescent="0.25">
      <c r="O1828" s="99"/>
    </row>
    <row r="1829" spans="15:15" x14ac:dyDescent="0.25">
      <c r="O1829" s="99"/>
    </row>
    <row r="1830" spans="15:15" x14ac:dyDescent="0.25">
      <c r="O1830" s="99"/>
    </row>
    <row r="1831" spans="15:15" x14ac:dyDescent="0.25">
      <c r="O1831" s="99"/>
    </row>
    <row r="1832" spans="15:15" x14ac:dyDescent="0.25">
      <c r="O1832" s="99"/>
    </row>
    <row r="1833" spans="15:15" x14ac:dyDescent="0.25">
      <c r="O1833" s="99"/>
    </row>
    <row r="1834" spans="15:15" x14ac:dyDescent="0.25">
      <c r="O1834" s="99"/>
    </row>
    <row r="1835" spans="15:15" x14ac:dyDescent="0.25">
      <c r="O1835" s="99"/>
    </row>
    <row r="1836" spans="15:15" x14ac:dyDescent="0.25">
      <c r="O1836" s="99"/>
    </row>
    <row r="1837" spans="15:15" x14ac:dyDescent="0.25">
      <c r="O1837" s="99"/>
    </row>
    <row r="1838" spans="15:15" x14ac:dyDescent="0.25">
      <c r="O1838" s="99"/>
    </row>
    <row r="1839" spans="15:15" x14ac:dyDescent="0.25">
      <c r="O1839" s="99"/>
    </row>
    <row r="1840" spans="15:15" x14ac:dyDescent="0.25">
      <c r="O1840" s="99"/>
    </row>
    <row r="1841" spans="15:15" x14ac:dyDescent="0.25">
      <c r="O1841" s="99"/>
    </row>
    <row r="1842" spans="15:15" x14ac:dyDescent="0.25">
      <c r="O1842" s="99"/>
    </row>
    <row r="1843" spans="15:15" x14ac:dyDescent="0.25">
      <c r="O1843" s="99"/>
    </row>
    <row r="1844" spans="15:15" x14ac:dyDescent="0.25">
      <c r="O1844" s="99"/>
    </row>
    <row r="1845" spans="15:15" x14ac:dyDescent="0.25">
      <c r="O1845" s="99"/>
    </row>
    <row r="1846" spans="15:15" x14ac:dyDescent="0.25">
      <c r="O1846" s="99"/>
    </row>
    <row r="1847" spans="15:15" x14ac:dyDescent="0.25">
      <c r="O1847" s="99"/>
    </row>
    <row r="1848" spans="15:15" x14ac:dyDescent="0.25">
      <c r="O1848" s="99"/>
    </row>
    <row r="1849" spans="15:15" x14ac:dyDescent="0.25">
      <c r="O1849" s="99"/>
    </row>
    <row r="1850" spans="15:15" x14ac:dyDescent="0.25">
      <c r="O1850" s="99"/>
    </row>
    <row r="1851" spans="15:15" x14ac:dyDescent="0.25">
      <c r="O1851" s="99"/>
    </row>
    <row r="1852" spans="15:15" x14ac:dyDescent="0.25">
      <c r="O1852" s="99"/>
    </row>
    <row r="1853" spans="15:15" x14ac:dyDescent="0.25">
      <c r="O1853" s="99"/>
    </row>
    <row r="1854" spans="15:15" x14ac:dyDescent="0.25">
      <c r="O1854" s="99"/>
    </row>
    <row r="1855" spans="15:15" x14ac:dyDescent="0.25">
      <c r="O1855" s="99"/>
    </row>
    <row r="1856" spans="15:15" x14ac:dyDescent="0.25">
      <c r="O1856" s="99"/>
    </row>
    <row r="1857" spans="15:15" x14ac:dyDescent="0.25">
      <c r="O1857" s="99"/>
    </row>
    <row r="1858" spans="15:15" x14ac:dyDescent="0.25">
      <c r="O1858" s="99"/>
    </row>
    <row r="1859" spans="15:15" x14ac:dyDescent="0.25">
      <c r="O1859" s="99"/>
    </row>
    <row r="1860" spans="15:15" x14ac:dyDescent="0.25">
      <c r="O1860" s="99"/>
    </row>
    <row r="1861" spans="15:15" x14ac:dyDescent="0.25">
      <c r="O1861" s="99"/>
    </row>
    <row r="1862" spans="15:15" x14ac:dyDescent="0.25">
      <c r="O1862" s="99"/>
    </row>
    <row r="1863" spans="15:15" x14ac:dyDescent="0.25">
      <c r="O1863" s="99"/>
    </row>
    <row r="1864" spans="15:15" x14ac:dyDescent="0.25">
      <c r="O1864" s="99"/>
    </row>
    <row r="1865" spans="15:15" x14ac:dyDescent="0.25">
      <c r="O1865" s="99"/>
    </row>
    <row r="1866" spans="15:15" x14ac:dyDescent="0.25">
      <c r="O1866" s="99"/>
    </row>
    <row r="1867" spans="15:15" x14ac:dyDescent="0.25">
      <c r="O1867" s="99"/>
    </row>
    <row r="1868" spans="15:15" x14ac:dyDescent="0.25">
      <c r="O1868" s="99"/>
    </row>
    <row r="1869" spans="15:15" x14ac:dyDescent="0.25">
      <c r="O1869" s="99"/>
    </row>
    <row r="1870" spans="15:15" x14ac:dyDescent="0.25">
      <c r="O1870" s="99"/>
    </row>
    <row r="1871" spans="15:15" x14ac:dyDescent="0.25">
      <c r="O1871" s="99"/>
    </row>
    <row r="1872" spans="15:15" x14ac:dyDescent="0.25">
      <c r="O1872" s="99"/>
    </row>
    <row r="1873" spans="15:15" x14ac:dyDescent="0.25">
      <c r="O1873" s="99"/>
    </row>
    <row r="1874" spans="15:15" x14ac:dyDescent="0.25">
      <c r="O1874" s="99"/>
    </row>
    <row r="1875" spans="15:15" x14ac:dyDescent="0.25">
      <c r="O1875" s="99"/>
    </row>
    <row r="1876" spans="15:15" x14ac:dyDescent="0.25">
      <c r="O1876" s="99"/>
    </row>
    <row r="1877" spans="15:15" x14ac:dyDescent="0.25">
      <c r="O1877" s="99"/>
    </row>
    <row r="1878" spans="15:15" x14ac:dyDescent="0.25">
      <c r="O1878" s="99"/>
    </row>
    <row r="1879" spans="15:15" x14ac:dyDescent="0.25">
      <c r="O1879" s="99"/>
    </row>
    <row r="1880" spans="15:15" x14ac:dyDescent="0.25">
      <c r="O1880" s="99"/>
    </row>
    <row r="1881" spans="15:15" x14ac:dyDescent="0.25">
      <c r="O1881" s="99"/>
    </row>
    <row r="1882" spans="15:15" x14ac:dyDescent="0.25">
      <c r="O1882" s="99"/>
    </row>
    <row r="1883" spans="15:15" x14ac:dyDescent="0.25">
      <c r="O1883" s="99"/>
    </row>
    <row r="1884" spans="15:15" x14ac:dyDescent="0.25">
      <c r="O1884" s="99"/>
    </row>
    <row r="1885" spans="15:15" x14ac:dyDescent="0.25">
      <c r="O1885" s="99"/>
    </row>
    <row r="1886" spans="15:15" x14ac:dyDescent="0.25">
      <c r="O1886" s="99"/>
    </row>
    <row r="1887" spans="15:15" x14ac:dyDescent="0.25">
      <c r="O1887" s="99"/>
    </row>
    <row r="1888" spans="15:15" x14ac:dyDescent="0.25">
      <c r="O1888" s="99"/>
    </row>
    <row r="1889" spans="15:15" x14ac:dyDescent="0.25">
      <c r="O1889" s="99"/>
    </row>
    <row r="1890" spans="15:15" x14ac:dyDescent="0.25">
      <c r="O1890" s="99"/>
    </row>
    <row r="1891" spans="15:15" x14ac:dyDescent="0.25">
      <c r="O1891" s="99"/>
    </row>
    <row r="1892" spans="15:15" x14ac:dyDescent="0.25">
      <c r="O1892" s="99"/>
    </row>
    <row r="1893" spans="15:15" x14ac:dyDescent="0.25">
      <c r="O1893" s="99"/>
    </row>
    <row r="1894" spans="15:15" x14ac:dyDescent="0.25">
      <c r="O1894" s="99"/>
    </row>
    <row r="1895" spans="15:15" x14ac:dyDescent="0.25">
      <c r="O1895" s="99"/>
    </row>
    <row r="1896" spans="15:15" x14ac:dyDescent="0.25">
      <c r="O1896" s="99"/>
    </row>
    <row r="1897" spans="15:15" x14ac:dyDescent="0.25">
      <c r="O1897" s="99"/>
    </row>
    <row r="1898" spans="15:15" x14ac:dyDescent="0.25">
      <c r="O1898" s="99"/>
    </row>
    <row r="1899" spans="15:15" x14ac:dyDescent="0.25">
      <c r="O1899" s="99"/>
    </row>
    <row r="1900" spans="15:15" x14ac:dyDescent="0.25">
      <c r="O1900" s="99"/>
    </row>
    <row r="1901" spans="15:15" x14ac:dyDescent="0.25">
      <c r="O1901" s="99"/>
    </row>
    <row r="1902" spans="15:15" x14ac:dyDescent="0.25">
      <c r="O1902" s="99"/>
    </row>
    <row r="1903" spans="15:15" x14ac:dyDescent="0.25">
      <c r="O1903" s="99"/>
    </row>
    <row r="1904" spans="15:15" x14ac:dyDescent="0.25">
      <c r="O1904" s="99"/>
    </row>
    <row r="1905" spans="15:15" x14ac:dyDescent="0.25">
      <c r="O1905" s="99"/>
    </row>
    <row r="1906" spans="15:15" x14ac:dyDescent="0.25">
      <c r="O1906" s="99"/>
    </row>
    <row r="1907" spans="15:15" x14ac:dyDescent="0.25">
      <c r="O1907" s="99"/>
    </row>
    <row r="1908" spans="15:15" x14ac:dyDescent="0.25">
      <c r="O1908" s="99"/>
    </row>
    <row r="1909" spans="15:15" x14ac:dyDescent="0.25">
      <c r="O1909" s="99"/>
    </row>
    <row r="1910" spans="15:15" x14ac:dyDescent="0.25">
      <c r="O1910" s="99"/>
    </row>
    <row r="1911" spans="15:15" x14ac:dyDescent="0.25">
      <c r="O1911" s="99"/>
    </row>
    <row r="1912" spans="15:15" x14ac:dyDescent="0.25">
      <c r="O1912" s="99"/>
    </row>
    <row r="1913" spans="15:15" x14ac:dyDescent="0.25">
      <c r="O1913" s="99"/>
    </row>
    <row r="1914" spans="15:15" x14ac:dyDescent="0.25">
      <c r="O1914" s="99"/>
    </row>
    <row r="1915" spans="15:15" x14ac:dyDescent="0.25">
      <c r="O1915" s="99"/>
    </row>
    <row r="1916" spans="15:15" x14ac:dyDescent="0.25">
      <c r="O1916" s="99"/>
    </row>
    <row r="1917" spans="15:15" x14ac:dyDescent="0.25">
      <c r="O1917" s="99"/>
    </row>
    <row r="1918" spans="15:15" x14ac:dyDescent="0.25">
      <c r="O1918" s="99"/>
    </row>
    <row r="1919" spans="15:15" x14ac:dyDescent="0.25">
      <c r="O1919" s="99"/>
    </row>
    <row r="1920" spans="15:15" x14ac:dyDescent="0.25">
      <c r="O1920" s="99"/>
    </row>
    <row r="1921" spans="15:15" x14ac:dyDescent="0.25">
      <c r="O1921" s="99"/>
    </row>
    <row r="1922" spans="15:15" x14ac:dyDescent="0.25">
      <c r="O1922" s="99"/>
    </row>
    <row r="1923" spans="15:15" x14ac:dyDescent="0.25">
      <c r="O1923" s="99"/>
    </row>
    <row r="1924" spans="15:15" x14ac:dyDescent="0.25">
      <c r="O1924" s="99"/>
    </row>
    <row r="1925" spans="15:15" x14ac:dyDescent="0.25">
      <c r="O1925" s="99"/>
    </row>
    <row r="1926" spans="15:15" x14ac:dyDescent="0.25">
      <c r="O1926" s="99"/>
    </row>
    <row r="1927" spans="15:15" x14ac:dyDescent="0.25">
      <c r="O1927" s="99"/>
    </row>
    <row r="1928" spans="15:15" x14ac:dyDescent="0.25">
      <c r="O1928" s="99"/>
    </row>
    <row r="1929" spans="15:15" x14ac:dyDescent="0.25">
      <c r="O1929" s="99"/>
    </row>
    <row r="1930" spans="15:15" x14ac:dyDescent="0.25">
      <c r="O1930" s="99"/>
    </row>
    <row r="1931" spans="15:15" x14ac:dyDescent="0.25">
      <c r="O1931" s="99"/>
    </row>
    <row r="1932" spans="15:15" x14ac:dyDescent="0.25">
      <c r="O1932" s="99"/>
    </row>
    <row r="1933" spans="15:15" x14ac:dyDescent="0.25">
      <c r="O1933" s="99"/>
    </row>
    <row r="1934" spans="15:15" x14ac:dyDescent="0.25">
      <c r="O1934" s="99"/>
    </row>
    <row r="1935" spans="15:15" x14ac:dyDescent="0.25">
      <c r="O1935" s="99"/>
    </row>
    <row r="1936" spans="15:15" x14ac:dyDescent="0.25">
      <c r="O1936" s="99"/>
    </row>
    <row r="1937" spans="15:15" x14ac:dyDescent="0.25">
      <c r="O1937" s="99"/>
    </row>
    <row r="1938" spans="15:15" x14ac:dyDescent="0.25">
      <c r="O1938" s="99"/>
    </row>
    <row r="1939" spans="15:15" x14ac:dyDescent="0.25">
      <c r="O1939" s="99"/>
    </row>
    <row r="1940" spans="15:15" x14ac:dyDescent="0.25">
      <c r="O1940" s="99"/>
    </row>
    <row r="1941" spans="15:15" x14ac:dyDescent="0.25">
      <c r="O1941" s="99"/>
    </row>
    <row r="1942" spans="15:15" x14ac:dyDescent="0.25">
      <c r="O1942" s="99"/>
    </row>
    <row r="1943" spans="15:15" x14ac:dyDescent="0.25">
      <c r="O1943" s="99"/>
    </row>
    <row r="1944" spans="15:15" x14ac:dyDescent="0.25">
      <c r="O1944" s="99"/>
    </row>
    <row r="1945" spans="15:15" x14ac:dyDescent="0.25">
      <c r="O1945" s="99"/>
    </row>
    <row r="1946" spans="15:15" x14ac:dyDescent="0.25">
      <c r="O1946" s="99"/>
    </row>
    <row r="1947" spans="15:15" x14ac:dyDescent="0.25">
      <c r="O1947" s="99"/>
    </row>
    <row r="1948" spans="15:15" x14ac:dyDescent="0.25">
      <c r="O1948" s="99"/>
    </row>
    <row r="1949" spans="15:15" x14ac:dyDescent="0.25">
      <c r="O1949" s="99"/>
    </row>
    <row r="1950" spans="15:15" x14ac:dyDescent="0.25">
      <c r="O1950" s="99"/>
    </row>
    <row r="1951" spans="15:15" x14ac:dyDescent="0.25">
      <c r="O1951" s="99"/>
    </row>
    <row r="1952" spans="15:15" x14ac:dyDescent="0.25">
      <c r="O1952" s="99"/>
    </row>
    <row r="1953" spans="15:15" x14ac:dyDescent="0.25">
      <c r="O1953" s="99"/>
    </row>
    <row r="1954" spans="15:15" x14ac:dyDescent="0.25">
      <c r="O1954" s="99"/>
    </row>
    <row r="1955" spans="15:15" x14ac:dyDescent="0.25">
      <c r="O1955" s="99"/>
    </row>
    <row r="1956" spans="15:15" x14ac:dyDescent="0.25">
      <c r="O1956" s="99"/>
    </row>
    <row r="1957" spans="15:15" x14ac:dyDescent="0.25">
      <c r="O1957" s="99"/>
    </row>
    <row r="1958" spans="15:15" x14ac:dyDescent="0.25">
      <c r="O1958" s="99"/>
    </row>
    <row r="1959" spans="15:15" x14ac:dyDescent="0.25">
      <c r="O1959" s="99"/>
    </row>
    <row r="1960" spans="15:15" x14ac:dyDescent="0.25">
      <c r="O1960" s="99"/>
    </row>
    <row r="1961" spans="15:15" x14ac:dyDescent="0.25">
      <c r="O1961" s="99"/>
    </row>
    <row r="1962" spans="15:15" x14ac:dyDescent="0.25">
      <c r="O1962" s="99"/>
    </row>
    <row r="1963" spans="15:15" x14ac:dyDescent="0.25">
      <c r="O1963" s="99"/>
    </row>
    <row r="1964" spans="15:15" x14ac:dyDescent="0.25">
      <c r="O1964" s="99"/>
    </row>
    <row r="1965" spans="15:15" x14ac:dyDescent="0.25">
      <c r="O1965" s="99"/>
    </row>
    <row r="1966" spans="15:15" x14ac:dyDescent="0.25">
      <c r="O1966" s="99"/>
    </row>
    <row r="1967" spans="15:15" x14ac:dyDescent="0.25">
      <c r="O1967" s="99"/>
    </row>
    <row r="1968" spans="15:15" x14ac:dyDescent="0.25">
      <c r="O1968" s="99"/>
    </row>
    <row r="1969" spans="15:15" x14ac:dyDescent="0.25">
      <c r="O1969" s="99"/>
    </row>
    <row r="1970" spans="15:15" x14ac:dyDescent="0.25">
      <c r="O1970" s="99"/>
    </row>
    <row r="1971" spans="15:15" x14ac:dyDescent="0.25">
      <c r="O1971" s="99"/>
    </row>
    <row r="1972" spans="15:15" x14ac:dyDescent="0.25">
      <c r="O1972" s="99"/>
    </row>
    <row r="1973" spans="15:15" x14ac:dyDescent="0.25">
      <c r="O1973" s="99"/>
    </row>
    <row r="1974" spans="15:15" x14ac:dyDescent="0.25">
      <c r="O1974" s="99"/>
    </row>
    <row r="1975" spans="15:15" x14ac:dyDescent="0.25">
      <c r="O1975" s="99"/>
    </row>
    <row r="1976" spans="15:15" x14ac:dyDescent="0.25">
      <c r="O1976" s="99"/>
    </row>
    <row r="1977" spans="15:15" x14ac:dyDescent="0.25">
      <c r="O1977" s="99"/>
    </row>
    <row r="1978" spans="15:15" x14ac:dyDescent="0.25">
      <c r="O1978" s="99"/>
    </row>
    <row r="1979" spans="15:15" x14ac:dyDescent="0.25">
      <c r="O1979" s="99"/>
    </row>
    <row r="1980" spans="15:15" x14ac:dyDescent="0.25">
      <c r="O1980" s="99"/>
    </row>
    <row r="1981" spans="15:15" x14ac:dyDescent="0.25">
      <c r="O1981" s="99"/>
    </row>
    <row r="1982" spans="15:15" x14ac:dyDescent="0.25">
      <c r="O1982" s="99"/>
    </row>
    <row r="1983" spans="15:15" x14ac:dyDescent="0.25">
      <c r="O1983" s="99"/>
    </row>
    <row r="1984" spans="15:15" x14ac:dyDescent="0.25">
      <c r="O1984" s="99"/>
    </row>
    <row r="1985" spans="15:15" x14ac:dyDescent="0.25">
      <c r="O1985" s="99"/>
    </row>
    <row r="1986" spans="15:15" x14ac:dyDescent="0.25">
      <c r="O1986" s="99"/>
    </row>
    <row r="1987" spans="15:15" x14ac:dyDescent="0.25">
      <c r="O1987" s="99"/>
    </row>
    <row r="1988" spans="15:15" x14ac:dyDescent="0.25">
      <c r="O1988" s="99"/>
    </row>
    <row r="1989" spans="15:15" x14ac:dyDescent="0.25">
      <c r="O1989" s="99"/>
    </row>
    <row r="1990" spans="15:15" x14ac:dyDescent="0.25">
      <c r="O1990" s="99"/>
    </row>
    <row r="1991" spans="15:15" x14ac:dyDescent="0.25">
      <c r="O1991" s="99"/>
    </row>
    <row r="1992" spans="15:15" x14ac:dyDescent="0.25">
      <c r="O1992" s="99"/>
    </row>
    <row r="1993" spans="15:15" x14ac:dyDescent="0.25">
      <c r="O1993" s="99"/>
    </row>
    <row r="1994" spans="15:15" x14ac:dyDescent="0.25">
      <c r="O1994" s="99"/>
    </row>
    <row r="1995" spans="15:15" x14ac:dyDescent="0.25">
      <c r="O1995" s="99"/>
    </row>
    <row r="1996" spans="15:15" x14ac:dyDescent="0.25">
      <c r="O1996" s="99"/>
    </row>
    <row r="1997" spans="15:15" x14ac:dyDescent="0.25">
      <c r="O1997" s="99"/>
    </row>
    <row r="1998" spans="15:15" x14ac:dyDescent="0.25">
      <c r="O1998" s="99"/>
    </row>
    <row r="1999" spans="15:15" x14ac:dyDescent="0.25">
      <c r="O1999" s="99"/>
    </row>
    <row r="2000" spans="15:15" x14ac:dyDescent="0.25">
      <c r="O2000" s="99"/>
    </row>
    <row r="2001" spans="15:15" x14ac:dyDescent="0.25">
      <c r="O2001" s="99"/>
    </row>
    <row r="2002" spans="15:15" x14ac:dyDescent="0.25">
      <c r="O2002" s="99"/>
    </row>
    <row r="2003" spans="15:15" x14ac:dyDescent="0.25">
      <c r="O2003" s="99"/>
    </row>
    <row r="2004" spans="15:15" x14ac:dyDescent="0.25">
      <c r="O2004" s="99"/>
    </row>
    <row r="2005" spans="15:15" x14ac:dyDescent="0.25">
      <c r="O2005" s="99"/>
    </row>
    <row r="2006" spans="15:15" x14ac:dyDescent="0.25">
      <c r="O2006" s="99"/>
    </row>
    <row r="2007" spans="15:15" x14ac:dyDescent="0.25">
      <c r="O2007" s="99"/>
    </row>
    <row r="2008" spans="15:15" x14ac:dyDescent="0.25">
      <c r="O2008" s="99"/>
    </row>
    <row r="2009" spans="15:15" x14ac:dyDescent="0.25">
      <c r="O2009" s="99"/>
    </row>
    <row r="2010" spans="15:15" x14ac:dyDescent="0.25">
      <c r="O2010" s="99"/>
    </row>
    <row r="2011" spans="15:15" x14ac:dyDescent="0.25">
      <c r="O2011" s="99"/>
    </row>
    <row r="2012" spans="15:15" x14ac:dyDescent="0.25">
      <c r="O2012" s="99"/>
    </row>
    <row r="2013" spans="15:15" x14ac:dyDescent="0.25">
      <c r="O2013" s="99"/>
    </row>
    <row r="2014" spans="15:15" x14ac:dyDescent="0.25">
      <c r="O2014" s="99"/>
    </row>
    <row r="2015" spans="15:15" x14ac:dyDescent="0.25">
      <c r="O2015" s="99"/>
    </row>
    <row r="2016" spans="15:15" x14ac:dyDescent="0.25">
      <c r="O2016" s="99"/>
    </row>
    <row r="2017" spans="15:15" x14ac:dyDescent="0.25">
      <c r="O2017" s="99"/>
    </row>
    <row r="2018" spans="15:15" x14ac:dyDescent="0.25">
      <c r="O2018" s="99"/>
    </row>
    <row r="2019" spans="15:15" x14ac:dyDescent="0.25">
      <c r="O2019" s="99"/>
    </row>
    <row r="2020" spans="15:15" x14ac:dyDescent="0.25">
      <c r="O2020" s="99"/>
    </row>
    <row r="2021" spans="15:15" x14ac:dyDescent="0.25">
      <c r="O2021" s="99"/>
    </row>
    <row r="2022" spans="15:15" x14ac:dyDescent="0.25">
      <c r="O2022" s="99"/>
    </row>
    <row r="2023" spans="15:15" x14ac:dyDescent="0.25">
      <c r="O2023" s="99"/>
    </row>
    <row r="2024" spans="15:15" x14ac:dyDescent="0.25">
      <c r="O2024" s="99"/>
    </row>
    <row r="2025" spans="15:15" x14ac:dyDescent="0.25">
      <c r="O2025" s="99"/>
    </row>
    <row r="2026" spans="15:15" x14ac:dyDescent="0.25">
      <c r="O2026" s="99"/>
    </row>
    <row r="2027" spans="15:15" x14ac:dyDescent="0.25">
      <c r="O2027" s="99"/>
    </row>
    <row r="2028" spans="15:15" x14ac:dyDescent="0.25">
      <c r="O2028" s="99"/>
    </row>
    <row r="2029" spans="15:15" x14ac:dyDescent="0.25">
      <c r="O2029" s="99"/>
    </row>
    <row r="2030" spans="15:15" x14ac:dyDescent="0.25">
      <c r="O2030" s="99"/>
    </row>
    <row r="2031" spans="15:15" x14ac:dyDescent="0.25">
      <c r="O2031" s="99"/>
    </row>
    <row r="2032" spans="15:15" x14ac:dyDescent="0.25">
      <c r="O2032" s="99"/>
    </row>
    <row r="2033" spans="15:15" x14ac:dyDescent="0.25">
      <c r="O2033" s="99"/>
    </row>
    <row r="2034" spans="15:15" x14ac:dyDescent="0.25">
      <c r="O2034" s="99"/>
    </row>
    <row r="2035" spans="15:15" x14ac:dyDescent="0.25">
      <c r="O2035" s="99"/>
    </row>
    <row r="2036" spans="15:15" x14ac:dyDescent="0.25">
      <c r="O2036" s="99"/>
    </row>
    <row r="2037" spans="15:15" x14ac:dyDescent="0.25">
      <c r="O2037" s="99"/>
    </row>
    <row r="2038" spans="15:15" x14ac:dyDescent="0.25">
      <c r="O2038" s="99"/>
    </row>
    <row r="2039" spans="15:15" x14ac:dyDescent="0.25">
      <c r="O2039" s="99"/>
    </row>
    <row r="2040" spans="15:15" x14ac:dyDescent="0.25">
      <c r="O2040" s="99"/>
    </row>
    <row r="2041" spans="15:15" x14ac:dyDescent="0.25">
      <c r="O2041" s="99"/>
    </row>
    <row r="2042" spans="15:15" x14ac:dyDescent="0.25">
      <c r="O2042" s="99"/>
    </row>
    <row r="2043" spans="15:15" x14ac:dyDescent="0.25">
      <c r="O2043" s="99"/>
    </row>
    <row r="2044" spans="15:15" x14ac:dyDescent="0.25">
      <c r="O2044" s="99"/>
    </row>
    <row r="2045" spans="15:15" x14ac:dyDescent="0.25">
      <c r="O2045" s="99"/>
    </row>
    <row r="2046" spans="15:15" x14ac:dyDescent="0.25">
      <c r="O2046" s="99"/>
    </row>
    <row r="2047" spans="15:15" x14ac:dyDescent="0.25">
      <c r="O2047" s="99"/>
    </row>
    <row r="2048" spans="15:15" x14ac:dyDescent="0.25">
      <c r="O2048" s="99"/>
    </row>
    <row r="2049" spans="15:15" x14ac:dyDescent="0.25">
      <c r="O2049" s="99"/>
    </row>
    <row r="2050" spans="15:15" x14ac:dyDescent="0.25">
      <c r="O2050" s="99"/>
    </row>
    <row r="2051" spans="15:15" x14ac:dyDescent="0.25">
      <c r="O2051" s="99"/>
    </row>
    <row r="2052" spans="15:15" x14ac:dyDescent="0.25">
      <c r="O2052" s="99"/>
    </row>
    <row r="2053" spans="15:15" x14ac:dyDescent="0.25">
      <c r="O2053" s="99"/>
    </row>
    <row r="2054" spans="15:15" x14ac:dyDescent="0.25">
      <c r="O2054" s="99"/>
    </row>
    <row r="2055" spans="15:15" x14ac:dyDescent="0.25">
      <c r="O2055" s="99"/>
    </row>
    <row r="2056" spans="15:15" x14ac:dyDescent="0.25">
      <c r="O2056" s="99"/>
    </row>
    <row r="2057" spans="15:15" x14ac:dyDescent="0.25">
      <c r="O2057" s="99"/>
    </row>
    <row r="2058" spans="15:15" x14ac:dyDescent="0.25">
      <c r="O2058" s="99"/>
    </row>
    <row r="2059" spans="15:15" x14ac:dyDescent="0.25">
      <c r="O2059" s="99"/>
    </row>
    <row r="2060" spans="15:15" x14ac:dyDescent="0.25">
      <c r="O2060" s="99"/>
    </row>
    <row r="2061" spans="15:15" x14ac:dyDescent="0.25">
      <c r="O2061" s="99"/>
    </row>
    <row r="2062" spans="15:15" x14ac:dyDescent="0.25">
      <c r="O2062" s="99"/>
    </row>
    <row r="2063" spans="15:15" x14ac:dyDescent="0.25">
      <c r="O2063" s="99"/>
    </row>
    <row r="2064" spans="15:15" x14ac:dyDescent="0.25">
      <c r="O2064" s="99"/>
    </row>
    <row r="2065" spans="15:15" x14ac:dyDescent="0.25">
      <c r="O2065" s="99"/>
    </row>
    <row r="2066" spans="15:15" x14ac:dyDescent="0.25">
      <c r="O2066" s="99"/>
    </row>
    <row r="2067" spans="15:15" x14ac:dyDescent="0.25">
      <c r="O2067" s="99"/>
    </row>
    <row r="2068" spans="15:15" x14ac:dyDescent="0.25">
      <c r="O2068" s="99"/>
    </row>
    <row r="2069" spans="15:15" x14ac:dyDescent="0.25">
      <c r="O2069" s="99"/>
    </row>
    <row r="2070" spans="15:15" x14ac:dyDescent="0.25">
      <c r="O2070" s="99"/>
    </row>
    <row r="2071" spans="15:15" x14ac:dyDescent="0.25">
      <c r="O2071" s="99"/>
    </row>
    <row r="2072" spans="15:15" x14ac:dyDescent="0.25">
      <c r="O2072" s="99"/>
    </row>
    <row r="2073" spans="15:15" x14ac:dyDescent="0.25">
      <c r="O2073" s="99"/>
    </row>
    <row r="2074" spans="15:15" x14ac:dyDescent="0.25">
      <c r="O2074" s="99"/>
    </row>
    <row r="2075" spans="15:15" x14ac:dyDescent="0.25">
      <c r="O2075" s="99"/>
    </row>
    <row r="2076" spans="15:15" x14ac:dyDescent="0.25">
      <c r="O2076" s="99"/>
    </row>
    <row r="2077" spans="15:15" x14ac:dyDescent="0.25">
      <c r="O2077" s="99"/>
    </row>
    <row r="2078" spans="15:15" x14ac:dyDescent="0.25">
      <c r="O2078" s="99"/>
    </row>
    <row r="2079" spans="15:15" x14ac:dyDescent="0.25">
      <c r="O2079" s="99"/>
    </row>
    <row r="2080" spans="15:15" x14ac:dyDescent="0.25">
      <c r="O2080" s="99"/>
    </row>
    <row r="2081" spans="15:15" x14ac:dyDescent="0.25">
      <c r="O2081" s="99"/>
    </row>
    <row r="2082" spans="15:15" x14ac:dyDescent="0.25">
      <c r="O2082" s="99"/>
    </row>
    <row r="2083" spans="15:15" x14ac:dyDescent="0.25">
      <c r="O2083" s="99"/>
    </row>
    <row r="2084" spans="15:15" x14ac:dyDescent="0.25">
      <c r="O2084" s="99"/>
    </row>
    <row r="2085" spans="15:15" x14ac:dyDescent="0.25">
      <c r="O2085" s="99"/>
    </row>
    <row r="2086" spans="15:15" x14ac:dyDescent="0.25">
      <c r="O2086" s="99"/>
    </row>
    <row r="2087" spans="15:15" x14ac:dyDescent="0.25">
      <c r="O2087" s="99"/>
    </row>
    <row r="2088" spans="15:15" x14ac:dyDescent="0.25">
      <c r="O2088" s="99"/>
    </row>
    <row r="2089" spans="15:15" x14ac:dyDescent="0.25">
      <c r="O2089" s="99"/>
    </row>
    <row r="2090" spans="15:15" x14ac:dyDescent="0.25">
      <c r="O2090" s="99"/>
    </row>
    <row r="2091" spans="15:15" x14ac:dyDescent="0.25">
      <c r="O2091" s="99"/>
    </row>
    <row r="2092" spans="15:15" x14ac:dyDescent="0.25">
      <c r="O2092" s="99"/>
    </row>
    <row r="2093" spans="15:15" x14ac:dyDescent="0.25">
      <c r="O2093" s="99"/>
    </row>
    <row r="2094" spans="15:15" x14ac:dyDescent="0.25">
      <c r="O2094" s="99"/>
    </row>
    <row r="2095" spans="15:15" x14ac:dyDescent="0.25">
      <c r="O2095" s="99"/>
    </row>
    <row r="2096" spans="15:15" x14ac:dyDescent="0.25">
      <c r="O2096" s="99"/>
    </row>
    <row r="2097" spans="15:15" x14ac:dyDescent="0.25">
      <c r="O2097" s="99"/>
    </row>
    <row r="2098" spans="15:15" x14ac:dyDescent="0.25">
      <c r="O2098" s="99"/>
    </row>
    <row r="2099" spans="15:15" x14ac:dyDescent="0.25">
      <c r="O2099" s="99"/>
    </row>
    <row r="2100" spans="15:15" x14ac:dyDescent="0.25">
      <c r="O2100" s="99"/>
    </row>
    <row r="2101" spans="15:15" x14ac:dyDescent="0.25">
      <c r="O2101" s="99"/>
    </row>
    <row r="2102" spans="15:15" x14ac:dyDescent="0.25">
      <c r="O2102" s="99"/>
    </row>
    <row r="2103" spans="15:15" x14ac:dyDescent="0.25">
      <c r="O2103" s="99"/>
    </row>
    <row r="2104" spans="15:15" x14ac:dyDescent="0.25">
      <c r="O2104" s="99"/>
    </row>
    <row r="2105" spans="15:15" x14ac:dyDescent="0.25">
      <c r="O2105" s="99"/>
    </row>
    <row r="2106" spans="15:15" x14ac:dyDescent="0.25">
      <c r="O2106" s="99"/>
    </row>
    <row r="2107" spans="15:15" x14ac:dyDescent="0.25">
      <c r="O2107" s="99"/>
    </row>
    <row r="2108" spans="15:15" x14ac:dyDescent="0.25">
      <c r="O2108" s="99"/>
    </row>
    <row r="2109" spans="15:15" x14ac:dyDescent="0.25">
      <c r="O2109" s="99"/>
    </row>
    <row r="2110" spans="15:15" x14ac:dyDescent="0.25">
      <c r="O2110" s="99"/>
    </row>
    <row r="2111" spans="15:15" x14ac:dyDescent="0.25">
      <c r="O2111" s="99"/>
    </row>
    <row r="2112" spans="15:15" x14ac:dyDescent="0.25">
      <c r="O2112" s="99"/>
    </row>
    <row r="2113" spans="15:15" x14ac:dyDescent="0.25">
      <c r="O2113" s="99"/>
    </row>
    <row r="2114" spans="15:15" x14ac:dyDescent="0.25">
      <c r="O2114" s="99"/>
    </row>
    <row r="2115" spans="15:15" x14ac:dyDescent="0.25">
      <c r="O2115" s="99"/>
    </row>
    <row r="2116" spans="15:15" x14ac:dyDescent="0.25">
      <c r="O2116" s="99"/>
    </row>
    <row r="2117" spans="15:15" x14ac:dyDescent="0.25">
      <c r="O2117" s="99"/>
    </row>
    <row r="2118" spans="15:15" x14ac:dyDescent="0.25">
      <c r="O2118" s="99"/>
    </row>
    <row r="2119" spans="15:15" x14ac:dyDescent="0.25">
      <c r="O2119" s="99"/>
    </row>
    <row r="2120" spans="15:15" x14ac:dyDescent="0.25">
      <c r="O2120" s="99"/>
    </row>
    <row r="2121" spans="15:15" x14ac:dyDescent="0.25">
      <c r="O2121" s="99"/>
    </row>
    <row r="2122" spans="15:15" x14ac:dyDescent="0.25">
      <c r="O2122" s="99"/>
    </row>
    <row r="2123" spans="15:15" x14ac:dyDescent="0.25">
      <c r="O2123" s="99"/>
    </row>
    <row r="2124" spans="15:15" x14ac:dyDescent="0.25">
      <c r="O2124" s="99"/>
    </row>
    <row r="2125" spans="15:15" x14ac:dyDescent="0.25">
      <c r="O2125" s="99"/>
    </row>
    <row r="2126" spans="15:15" x14ac:dyDescent="0.25">
      <c r="O2126" s="99"/>
    </row>
    <row r="2127" spans="15:15" x14ac:dyDescent="0.25">
      <c r="O2127" s="99"/>
    </row>
    <row r="2128" spans="15:15" x14ac:dyDescent="0.25">
      <c r="O2128" s="99"/>
    </row>
    <row r="2129" spans="15:15" x14ac:dyDescent="0.25">
      <c r="O2129" s="99"/>
    </row>
    <row r="2130" spans="15:15" x14ac:dyDescent="0.25">
      <c r="O2130" s="99"/>
    </row>
    <row r="2131" spans="15:15" x14ac:dyDescent="0.25">
      <c r="O2131" s="99"/>
    </row>
    <row r="2132" spans="15:15" x14ac:dyDescent="0.25">
      <c r="O2132" s="99"/>
    </row>
    <row r="2133" spans="15:15" x14ac:dyDescent="0.25">
      <c r="O2133" s="99"/>
    </row>
    <row r="2134" spans="15:15" x14ac:dyDescent="0.25">
      <c r="O2134" s="99"/>
    </row>
    <row r="2135" spans="15:15" x14ac:dyDescent="0.25">
      <c r="O2135" s="99"/>
    </row>
    <row r="2136" spans="15:15" x14ac:dyDescent="0.25">
      <c r="O2136" s="99"/>
    </row>
    <row r="2137" spans="15:15" x14ac:dyDescent="0.25">
      <c r="O2137" s="99"/>
    </row>
    <row r="2138" spans="15:15" x14ac:dyDescent="0.25">
      <c r="O2138" s="99"/>
    </row>
    <row r="2139" spans="15:15" x14ac:dyDescent="0.25">
      <c r="O2139" s="99"/>
    </row>
    <row r="2140" spans="15:15" x14ac:dyDescent="0.25">
      <c r="O2140" s="99"/>
    </row>
    <row r="2141" spans="15:15" x14ac:dyDescent="0.25">
      <c r="O2141" s="99"/>
    </row>
    <row r="2142" spans="15:15" x14ac:dyDescent="0.25">
      <c r="O2142" s="99"/>
    </row>
    <row r="2143" spans="15:15" x14ac:dyDescent="0.25">
      <c r="O2143" s="99"/>
    </row>
    <row r="2144" spans="15:15" x14ac:dyDescent="0.25">
      <c r="O2144" s="99"/>
    </row>
    <row r="2145" spans="15:15" x14ac:dyDescent="0.25">
      <c r="O2145" s="99"/>
    </row>
    <row r="2146" spans="15:15" x14ac:dyDescent="0.25">
      <c r="O2146" s="99"/>
    </row>
    <row r="2147" spans="15:15" x14ac:dyDescent="0.25">
      <c r="O2147" s="99"/>
    </row>
    <row r="2148" spans="15:15" x14ac:dyDescent="0.25">
      <c r="O2148" s="99"/>
    </row>
    <row r="2149" spans="15:15" x14ac:dyDescent="0.25">
      <c r="O2149" s="99"/>
    </row>
    <row r="2150" spans="15:15" x14ac:dyDescent="0.25">
      <c r="O2150" s="99"/>
    </row>
    <row r="2151" spans="15:15" x14ac:dyDescent="0.25">
      <c r="O2151" s="99"/>
    </row>
    <row r="2152" spans="15:15" x14ac:dyDescent="0.25">
      <c r="O2152" s="99"/>
    </row>
    <row r="2153" spans="15:15" x14ac:dyDescent="0.25">
      <c r="O2153" s="99"/>
    </row>
    <row r="2154" spans="15:15" x14ac:dyDescent="0.25">
      <c r="O2154" s="99"/>
    </row>
    <row r="2155" spans="15:15" x14ac:dyDescent="0.25">
      <c r="O2155" s="99"/>
    </row>
    <row r="2156" spans="15:15" x14ac:dyDescent="0.25">
      <c r="O2156" s="99"/>
    </row>
    <row r="2157" spans="15:15" x14ac:dyDescent="0.25">
      <c r="O2157" s="99"/>
    </row>
    <row r="2158" spans="15:15" x14ac:dyDescent="0.25">
      <c r="O2158" s="99"/>
    </row>
    <row r="2159" spans="15:15" x14ac:dyDescent="0.25">
      <c r="O2159" s="99"/>
    </row>
    <row r="2160" spans="15:15" x14ac:dyDescent="0.25">
      <c r="O2160" s="99"/>
    </row>
    <row r="2161" spans="15:15" x14ac:dyDescent="0.25">
      <c r="O2161" s="99"/>
    </row>
    <row r="2162" spans="15:15" x14ac:dyDescent="0.25">
      <c r="O2162" s="99"/>
    </row>
    <row r="2163" spans="15:15" x14ac:dyDescent="0.25">
      <c r="O2163" s="99"/>
    </row>
    <row r="2164" spans="15:15" x14ac:dyDescent="0.25">
      <c r="O2164" s="99"/>
    </row>
    <row r="2165" spans="15:15" x14ac:dyDescent="0.25">
      <c r="O2165" s="99"/>
    </row>
    <row r="2166" spans="15:15" x14ac:dyDescent="0.25">
      <c r="O2166" s="99"/>
    </row>
    <row r="2167" spans="15:15" x14ac:dyDescent="0.25">
      <c r="O2167" s="99"/>
    </row>
    <row r="2168" spans="15:15" x14ac:dyDescent="0.25">
      <c r="O2168" s="99"/>
    </row>
    <row r="2169" spans="15:15" x14ac:dyDescent="0.25">
      <c r="O2169" s="99"/>
    </row>
    <row r="2170" spans="15:15" x14ac:dyDescent="0.25">
      <c r="O2170" s="99"/>
    </row>
    <row r="2171" spans="15:15" x14ac:dyDescent="0.25">
      <c r="O2171" s="99"/>
    </row>
    <row r="2172" spans="15:15" x14ac:dyDescent="0.25">
      <c r="O2172" s="99"/>
    </row>
    <row r="2173" spans="15:15" x14ac:dyDescent="0.25">
      <c r="O2173" s="99"/>
    </row>
    <row r="2174" spans="15:15" x14ac:dyDescent="0.25">
      <c r="O2174" s="99"/>
    </row>
    <row r="2175" spans="15:15" x14ac:dyDescent="0.25">
      <c r="O2175" s="99"/>
    </row>
    <row r="2176" spans="15:15" x14ac:dyDescent="0.25">
      <c r="O2176" s="99"/>
    </row>
    <row r="2177" spans="15:15" x14ac:dyDescent="0.25">
      <c r="O2177" s="99"/>
    </row>
    <row r="2178" spans="15:15" x14ac:dyDescent="0.25">
      <c r="O2178" s="99"/>
    </row>
    <row r="2179" spans="15:15" x14ac:dyDescent="0.25">
      <c r="O2179" s="99"/>
    </row>
    <row r="2180" spans="15:15" x14ac:dyDescent="0.25">
      <c r="O2180" s="99"/>
    </row>
    <row r="2181" spans="15:15" x14ac:dyDescent="0.25">
      <c r="O2181" s="99"/>
    </row>
    <row r="2182" spans="15:15" x14ac:dyDescent="0.25">
      <c r="O2182" s="99"/>
    </row>
    <row r="2183" spans="15:15" x14ac:dyDescent="0.25">
      <c r="O2183" s="99"/>
    </row>
    <row r="2184" spans="15:15" x14ac:dyDescent="0.25">
      <c r="O2184" s="99"/>
    </row>
    <row r="2185" spans="15:15" x14ac:dyDescent="0.25">
      <c r="O2185" s="99"/>
    </row>
    <row r="2186" spans="15:15" x14ac:dyDescent="0.25">
      <c r="O2186" s="99"/>
    </row>
    <row r="2187" spans="15:15" x14ac:dyDescent="0.25">
      <c r="O2187" s="99"/>
    </row>
    <row r="2188" spans="15:15" x14ac:dyDescent="0.25">
      <c r="O2188" s="99"/>
    </row>
    <row r="2189" spans="15:15" x14ac:dyDescent="0.25">
      <c r="O2189" s="99"/>
    </row>
    <row r="2190" spans="15:15" x14ac:dyDescent="0.25">
      <c r="O2190" s="99"/>
    </row>
    <row r="2191" spans="15:15" x14ac:dyDescent="0.25">
      <c r="O2191" s="99"/>
    </row>
    <row r="2192" spans="15:15" x14ac:dyDescent="0.25">
      <c r="O2192" s="99"/>
    </row>
    <row r="2193" spans="15:15" x14ac:dyDescent="0.25">
      <c r="O2193" s="99"/>
    </row>
    <row r="2194" spans="15:15" x14ac:dyDescent="0.25">
      <c r="O2194" s="99"/>
    </row>
    <row r="2195" spans="15:15" x14ac:dyDescent="0.25">
      <c r="O2195" s="99"/>
    </row>
    <row r="2196" spans="15:15" x14ac:dyDescent="0.25">
      <c r="O2196" s="99"/>
    </row>
    <row r="2197" spans="15:15" x14ac:dyDescent="0.25">
      <c r="O2197" s="99"/>
    </row>
    <row r="2198" spans="15:15" x14ac:dyDescent="0.25">
      <c r="O2198" s="99"/>
    </row>
    <row r="2199" spans="15:15" x14ac:dyDescent="0.25">
      <c r="O2199" s="99"/>
    </row>
    <row r="2200" spans="15:15" x14ac:dyDescent="0.25">
      <c r="O2200" s="99"/>
    </row>
    <row r="2201" spans="15:15" x14ac:dyDescent="0.25">
      <c r="O2201" s="99"/>
    </row>
    <row r="2202" spans="15:15" x14ac:dyDescent="0.25">
      <c r="O2202" s="99"/>
    </row>
    <row r="2203" spans="15:15" x14ac:dyDescent="0.25">
      <c r="O2203" s="99"/>
    </row>
    <row r="2204" spans="15:15" x14ac:dyDescent="0.25">
      <c r="O2204" s="99"/>
    </row>
    <row r="2205" spans="15:15" x14ac:dyDescent="0.25">
      <c r="O2205" s="99"/>
    </row>
    <row r="2206" spans="15:15" x14ac:dyDescent="0.25">
      <c r="O2206" s="99"/>
    </row>
    <row r="2207" spans="15:15" x14ac:dyDescent="0.25">
      <c r="O2207" s="99"/>
    </row>
    <row r="2208" spans="15:15" x14ac:dyDescent="0.25">
      <c r="O2208" s="99"/>
    </row>
    <row r="2209" spans="15:15" x14ac:dyDescent="0.25">
      <c r="O2209" s="99"/>
    </row>
    <row r="2210" spans="15:15" x14ac:dyDescent="0.25">
      <c r="O2210" s="99"/>
    </row>
    <row r="2211" spans="15:15" x14ac:dyDescent="0.25">
      <c r="O2211" s="99"/>
    </row>
    <row r="2212" spans="15:15" x14ac:dyDescent="0.25">
      <c r="O2212" s="99"/>
    </row>
    <row r="2213" spans="15:15" x14ac:dyDescent="0.25">
      <c r="O2213" s="99"/>
    </row>
    <row r="2214" spans="15:15" x14ac:dyDescent="0.25">
      <c r="O2214" s="99"/>
    </row>
    <row r="2215" spans="15:15" x14ac:dyDescent="0.25">
      <c r="O2215" s="99"/>
    </row>
    <row r="2216" spans="15:15" x14ac:dyDescent="0.25">
      <c r="O2216" s="99"/>
    </row>
    <row r="2217" spans="15:15" x14ac:dyDescent="0.25">
      <c r="O2217" s="99"/>
    </row>
    <row r="2218" spans="15:15" x14ac:dyDescent="0.25">
      <c r="O2218" s="99"/>
    </row>
    <row r="2219" spans="15:15" x14ac:dyDescent="0.25">
      <c r="O2219" s="99"/>
    </row>
    <row r="2220" spans="15:15" x14ac:dyDescent="0.25">
      <c r="O2220" s="99"/>
    </row>
    <row r="2221" spans="15:15" x14ac:dyDescent="0.25">
      <c r="O2221" s="99"/>
    </row>
    <row r="2222" spans="15:15" x14ac:dyDescent="0.25">
      <c r="O2222" s="99"/>
    </row>
    <row r="2223" spans="15:15" x14ac:dyDescent="0.25">
      <c r="O2223" s="99"/>
    </row>
    <row r="2224" spans="15:15" x14ac:dyDescent="0.25">
      <c r="O2224" s="99"/>
    </row>
    <row r="2225" spans="15:15" x14ac:dyDescent="0.25">
      <c r="O2225" s="99"/>
    </row>
    <row r="2226" spans="15:15" x14ac:dyDescent="0.25">
      <c r="O2226" s="99"/>
    </row>
    <row r="2227" spans="15:15" x14ac:dyDescent="0.25">
      <c r="O2227" s="99"/>
    </row>
    <row r="2228" spans="15:15" x14ac:dyDescent="0.25">
      <c r="O2228" s="99"/>
    </row>
    <row r="2229" spans="15:15" x14ac:dyDescent="0.25">
      <c r="O2229" s="99"/>
    </row>
    <row r="2230" spans="15:15" x14ac:dyDescent="0.25">
      <c r="O2230" s="99"/>
    </row>
    <row r="2231" spans="15:15" x14ac:dyDescent="0.25">
      <c r="O2231" s="99"/>
    </row>
    <row r="2232" spans="15:15" x14ac:dyDescent="0.25">
      <c r="O2232" s="99"/>
    </row>
    <row r="2233" spans="15:15" x14ac:dyDescent="0.25">
      <c r="O2233" s="99"/>
    </row>
    <row r="2234" spans="15:15" x14ac:dyDescent="0.25">
      <c r="O2234" s="99"/>
    </row>
    <row r="2235" spans="15:15" x14ac:dyDescent="0.25">
      <c r="O2235" s="99"/>
    </row>
    <row r="2236" spans="15:15" x14ac:dyDescent="0.25">
      <c r="O2236" s="99"/>
    </row>
    <row r="2237" spans="15:15" x14ac:dyDescent="0.25">
      <c r="O2237" s="99"/>
    </row>
    <row r="2238" spans="15:15" x14ac:dyDescent="0.25">
      <c r="O2238" s="99"/>
    </row>
    <row r="2239" spans="15:15" x14ac:dyDescent="0.25">
      <c r="O2239" s="99"/>
    </row>
    <row r="2240" spans="15:15" x14ac:dyDescent="0.25">
      <c r="O2240" s="99"/>
    </row>
    <row r="2241" spans="15:15" x14ac:dyDescent="0.25">
      <c r="O2241" s="99"/>
    </row>
    <row r="2242" spans="15:15" x14ac:dyDescent="0.25">
      <c r="O2242" s="99"/>
    </row>
    <row r="2243" spans="15:15" x14ac:dyDescent="0.25">
      <c r="O2243" s="99"/>
    </row>
    <row r="2244" spans="15:15" x14ac:dyDescent="0.25">
      <c r="O2244" s="99"/>
    </row>
    <row r="2245" spans="15:15" x14ac:dyDescent="0.25">
      <c r="O2245" s="99"/>
    </row>
    <row r="2246" spans="15:15" x14ac:dyDescent="0.25">
      <c r="O2246" s="99"/>
    </row>
    <row r="2247" spans="15:15" x14ac:dyDescent="0.25">
      <c r="O2247" s="99"/>
    </row>
    <row r="2248" spans="15:15" x14ac:dyDescent="0.25">
      <c r="O2248" s="99"/>
    </row>
    <row r="2249" spans="15:15" x14ac:dyDescent="0.25">
      <c r="O2249" s="99"/>
    </row>
    <row r="2250" spans="15:15" x14ac:dyDescent="0.25">
      <c r="O2250" s="99"/>
    </row>
    <row r="2251" spans="15:15" x14ac:dyDescent="0.25">
      <c r="O2251" s="99"/>
    </row>
    <row r="2252" spans="15:15" x14ac:dyDescent="0.25">
      <c r="O2252" s="99"/>
    </row>
    <row r="2253" spans="15:15" x14ac:dyDescent="0.25">
      <c r="O2253" s="99"/>
    </row>
    <row r="2254" spans="15:15" x14ac:dyDescent="0.25">
      <c r="O2254" s="99"/>
    </row>
    <row r="2255" spans="15:15" x14ac:dyDescent="0.25">
      <c r="O2255" s="99"/>
    </row>
    <row r="2256" spans="15:15" x14ac:dyDescent="0.25">
      <c r="O2256" s="99"/>
    </row>
    <row r="2257" spans="15:15" x14ac:dyDescent="0.25">
      <c r="O2257" s="99"/>
    </row>
    <row r="2258" spans="15:15" x14ac:dyDescent="0.25">
      <c r="O2258" s="99"/>
    </row>
    <row r="2259" spans="15:15" x14ac:dyDescent="0.25">
      <c r="O2259" s="99"/>
    </row>
    <row r="2260" spans="15:15" x14ac:dyDescent="0.25">
      <c r="O2260" s="99"/>
    </row>
    <row r="2261" spans="15:15" x14ac:dyDescent="0.25">
      <c r="O2261" s="99"/>
    </row>
    <row r="2262" spans="15:15" x14ac:dyDescent="0.25">
      <c r="O2262" s="99"/>
    </row>
    <row r="2263" spans="15:15" x14ac:dyDescent="0.25">
      <c r="O2263" s="99"/>
    </row>
    <row r="2264" spans="15:15" x14ac:dyDescent="0.25">
      <c r="O2264" s="99"/>
    </row>
    <row r="2265" spans="15:15" x14ac:dyDescent="0.25">
      <c r="O2265" s="99"/>
    </row>
    <row r="2266" spans="15:15" x14ac:dyDescent="0.25">
      <c r="O2266" s="99"/>
    </row>
    <row r="2267" spans="15:15" x14ac:dyDescent="0.25">
      <c r="O2267" s="99"/>
    </row>
    <row r="2268" spans="15:15" x14ac:dyDescent="0.25">
      <c r="O2268" s="99"/>
    </row>
    <row r="2269" spans="15:15" x14ac:dyDescent="0.25">
      <c r="O2269" s="99"/>
    </row>
    <row r="2270" spans="15:15" x14ac:dyDescent="0.25">
      <c r="O2270" s="99"/>
    </row>
    <row r="2271" spans="15:15" x14ac:dyDescent="0.25">
      <c r="O2271" s="99"/>
    </row>
    <row r="2272" spans="15:15" x14ac:dyDescent="0.25">
      <c r="O2272" s="99"/>
    </row>
    <row r="2273" spans="15:15" x14ac:dyDescent="0.25">
      <c r="O2273" s="99"/>
    </row>
    <row r="2274" spans="15:15" x14ac:dyDescent="0.25">
      <c r="O2274" s="99"/>
    </row>
    <row r="2275" spans="15:15" x14ac:dyDescent="0.25">
      <c r="O2275" s="99"/>
    </row>
    <row r="2276" spans="15:15" x14ac:dyDescent="0.25">
      <c r="O2276" s="99"/>
    </row>
    <row r="2277" spans="15:15" x14ac:dyDescent="0.25">
      <c r="O2277" s="99"/>
    </row>
    <row r="2278" spans="15:15" x14ac:dyDescent="0.25">
      <c r="O2278" s="99"/>
    </row>
    <row r="2279" spans="15:15" x14ac:dyDescent="0.25">
      <c r="O2279" s="99"/>
    </row>
    <row r="2280" spans="15:15" x14ac:dyDescent="0.25">
      <c r="O2280" s="99"/>
    </row>
    <row r="2281" spans="15:15" x14ac:dyDescent="0.25">
      <c r="O2281" s="99"/>
    </row>
    <row r="2282" spans="15:15" x14ac:dyDescent="0.25">
      <c r="O2282" s="99"/>
    </row>
    <row r="2283" spans="15:15" x14ac:dyDescent="0.25">
      <c r="O2283" s="99"/>
    </row>
    <row r="2284" spans="15:15" x14ac:dyDescent="0.25">
      <c r="O2284" s="99"/>
    </row>
    <row r="2285" spans="15:15" x14ac:dyDescent="0.25">
      <c r="O2285" s="99"/>
    </row>
    <row r="2286" spans="15:15" x14ac:dyDescent="0.25">
      <c r="O2286" s="99"/>
    </row>
    <row r="2287" spans="15:15" x14ac:dyDescent="0.25">
      <c r="O2287" s="99"/>
    </row>
    <row r="2288" spans="15:15" x14ac:dyDescent="0.25">
      <c r="O2288" s="99"/>
    </row>
    <row r="2289" spans="15:15" x14ac:dyDescent="0.25">
      <c r="O2289" s="99"/>
    </row>
    <row r="2290" spans="15:15" x14ac:dyDescent="0.25">
      <c r="O2290" s="99"/>
    </row>
    <row r="2291" spans="15:15" x14ac:dyDescent="0.25">
      <c r="O2291" s="99"/>
    </row>
    <row r="2292" spans="15:15" x14ac:dyDescent="0.25">
      <c r="O2292" s="99"/>
    </row>
    <row r="2293" spans="15:15" x14ac:dyDescent="0.25">
      <c r="O2293" s="99"/>
    </row>
    <row r="2294" spans="15:15" x14ac:dyDescent="0.25">
      <c r="O2294" s="99"/>
    </row>
    <row r="2295" spans="15:15" x14ac:dyDescent="0.25">
      <c r="O2295" s="99"/>
    </row>
    <row r="2296" spans="15:15" x14ac:dyDescent="0.25">
      <c r="O2296" s="99"/>
    </row>
    <row r="2297" spans="15:15" x14ac:dyDescent="0.25">
      <c r="O2297" s="99"/>
    </row>
    <row r="2298" spans="15:15" x14ac:dyDescent="0.25">
      <c r="O2298" s="99"/>
    </row>
    <row r="2299" spans="15:15" x14ac:dyDescent="0.25">
      <c r="O2299" s="99"/>
    </row>
    <row r="2300" spans="15:15" x14ac:dyDescent="0.25">
      <c r="O2300" s="99"/>
    </row>
    <row r="2301" spans="15:15" x14ac:dyDescent="0.25">
      <c r="O2301" s="99"/>
    </row>
    <row r="2302" spans="15:15" x14ac:dyDescent="0.25">
      <c r="O2302" s="99"/>
    </row>
    <row r="2303" spans="15:15" x14ac:dyDescent="0.25">
      <c r="O2303" s="99"/>
    </row>
    <row r="2304" spans="15:15" x14ac:dyDescent="0.25">
      <c r="O2304" s="99"/>
    </row>
    <row r="2305" spans="15:15" x14ac:dyDescent="0.25">
      <c r="O2305" s="99"/>
    </row>
    <row r="2306" spans="15:15" x14ac:dyDescent="0.25">
      <c r="O2306" s="99"/>
    </row>
    <row r="2307" spans="15:15" x14ac:dyDescent="0.25">
      <c r="O2307" s="99"/>
    </row>
    <row r="2308" spans="15:15" x14ac:dyDescent="0.25">
      <c r="O2308" s="99"/>
    </row>
    <row r="2309" spans="15:15" x14ac:dyDescent="0.25">
      <c r="O2309" s="99"/>
    </row>
    <row r="2310" spans="15:15" x14ac:dyDescent="0.25">
      <c r="O2310" s="99"/>
    </row>
    <row r="2311" spans="15:15" x14ac:dyDescent="0.25">
      <c r="O2311" s="99"/>
    </row>
    <row r="2312" spans="15:15" x14ac:dyDescent="0.25">
      <c r="O2312" s="99"/>
    </row>
    <row r="2313" spans="15:15" x14ac:dyDescent="0.25">
      <c r="O2313" s="99"/>
    </row>
    <row r="2314" spans="15:15" x14ac:dyDescent="0.25">
      <c r="O2314" s="99"/>
    </row>
    <row r="2315" spans="15:15" x14ac:dyDescent="0.25">
      <c r="O2315" s="99"/>
    </row>
    <row r="2316" spans="15:15" x14ac:dyDescent="0.25">
      <c r="O2316" s="99"/>
    </row>
    <row r="2317" spans="15:15" x14ac:dyDescent="0.25">
      <c r="O2317" s="99"/>
    </row>
    <row r="2318" spans="15:15" x14ac:dyDescent="0.25">
      <c r="O2318" s="99"/>
    </row>
    <row r="2319" spans="15:15" x14ac:dyDescent="0.25">
      <c r="O2319" s="99"/>
    </row>
    <row r="2320" spans="15:15" x14ac:dyDescent="0.25">
      <c r="O2320" s="99"/>
    </row>
    <row r="2321" spans="15:15" x14ac:dyDescent="0.25">
      <c r="O2321" s="99"/>
    </row>
    <row r="2322" spans="15:15" x14ac:dyDescent="0.25">
      <c r="O2322" s="99"/>
    </row>
    <row r="2323" spans="15:15" x14ac:dyDescent="0.25">
      <c r="O2323" s="99"/>
    </row>
    <row r="2324" spans="15:15" x14ac:dyDescent="0.25">
      <c r="O2324" s="99"/>
    </row>
    <row r="2325" spans="15:15" x14ac:dyDescent="0.25">
      <c r="O2325" s="99"/>
    </row>
    <row r="2326" spans="15:15" x14ac:dyDescent="0.25">
      <c r="O2326" s="99"/>
    </row>
    <row r="2327" spans="15:15" x14ac:dyDescent="0.25">
      <c r="O2327" s="99"/>
    </row>
    <row r="2328" spans="15:15" x14ac:dyDescent="0.25">
      <c r="O2328" s="99"/>
    </row>
    <row r="2329" spans="15:15" x14ac:dyDescent="0.25">
      <c r="O2329" s="99"/>
    </row>
    <row r="2330" spans="15:15" x14ac:dyDescent="0.25">
      <c r="O2330" s="99"/>
    </row>
    <row r="2331" spans="15:15" x14ac:dyDescent="0.25">
      <c r="O2331" s="99"/>
    </row>
    <row r="2332" spans="15:15" x14ac:dyDescent="0.25">
      <c r="O2332" s="99"/>
    </row>
    <row r="2333" spans="15:15" x14ac:dyDescent="0.25">
      <c r="O2333" s="99"/>
    </row>
    <row r="2334" spans="15:15" x14ac:dyDescent="0.25">
      <c r="O2334" s="99"/>
    </row>
    <row r="2335" spans="15:15" x14ac:dyDescent="0.25">
      <c r="O2335" s="99"/>
    </row>
    <row r="2336" spans="15:15" x14ac:dyDescent="0.25">
      <c r="O2336" s="99"/>
    </row>
    <row r="2337" spans="15:15" x14ac:dyDescent="0.25">
      <c r="O2337" s="99"/>
    </row>
    <row r="2338" spans="15:15" x14ac:dyDescent="0.25">
      <c r="O2338" s="99"/>
    </row>
    <row r="2339" spans="15:15" x14ac:dyDescent="0.25">
      <c r="O2339" s="99"/>
    </row>
    <row r="2340" spans="15:15" x14ac:dyDescent="0.25">
      <c r="O2340" s="99"/>
    </row>
    <row r="2341" spans="15:15" x14ac:dyDescent="0.25">
      <c r="O2341" s="99"/>
    </row>
    <row r="2342" spans="15:15" x14ac:dyDescent="0.25">
      <c r="O2342" s="99"/>
    </row>
    <row r="2343" spans="15:15" x14ac:dyDescent="0.25">
      <c r="O2343" s="99"/>
    </row>
    <row r="2344" spans="15:15" x14ac:dyDescent="0.25">
      <c r="O2344" s="99"/>
    </row>
    <row r="2345" spans="15:15" x14ac:dyDescent="0.25">
      <c r="O2345" s="99"/>
    </row>
    <row r="2346" spans="15:15" x14ac:dyDescent="0.25">
      <c r="O2346" s="99"/>
    </row>
    <row r="2347" spans="15:15" x14ac:dyDescent="0.25">
      <c r="O2347" s="99"/>
    </row>
    <row r="2348" spans="15:15" x14ac:dyDescent="0.25">
      <c r="O2348" s="99"/>
    </row>
    <row r="2349" spans="15:15" x14ac:dyDescent="0.25">
      <c r="O2349" s="99"/>
    </row>
    <row r="2350" spans="15:15" x14ac:dyDescent="0.25">
      <c r="O2350" s="99"/>
    </row>
    <row r="2351" spans="15:15" x14ac:dyDescent="0.25">
      <c r="O2351" s="99"/>
    </row>
    <row r="2352" spans="15:15" x14ac:dyDescent="0.25">
      <c r="O2352" s="99"/>
    </row>
    <row r="2353" spans="15:15" x14ac:dyDescent="0.25">
      <c r="O2353" s="99"/>
    </row>
    <row r="2354" spans="15:15" x14ac:dyDescent="0.25">
      <c r="O2354" s="99"/>
    </row>
    <row r="2355" spans="15:15" x14ac:dyDescent="0.25">
      <c r="O2355" s="99"/>
    </row>
    <row r="2356" spans="15:15" x14ac:dyDescent="0.25">
      <c r="O2356" s="99"/>
    </row>
    <row r="2357" spans="15:15" x14ac:dyDescent="0.25">
      <c r="O2357" s="99"/>
    </row>
    <row r="2358" spans="15:15" x14ac:dyDescent="0.25">
      <c r="O2358" s="99"/>
    </row>
    <row r="2359" spans="15:15" x14ac:dyDescent="0.25">
      <c r="O2359" s="99"/>
    </row>
    <row r="2360" spans="15:15" x14ac:dyDescent="0.25">
      <c r="O2360" s="99"/>
    </row>
    <row r="2361" spans="15:15" x14ac:dyDescent="0.25">
      <c r="O2361" s="99"/>
    </row>
    <row r="2362" spans="15:15" x14ac:dyDescent="0.25">
      <c r="O2362" s="99"/>
    </row>
    <row r="2363" spans="15:15" x14ac:dyDescent="0.25">
      <c r="O2363" s="99"/>
    </row>
    <row r="2364" spans="15:15" x14ac:dyDescent="0.25">
      <c r="O2364" s="99"/>
    </row>
    <row r="2365" spans="15:15" x14ac:dyDescent="0.25">
      <c r="O2365" s="99"/>
    </row>
    <row r="2366" spans="15:15" x14ac:dyDescent="0.25">
      <c r="O2366" s="99"/>
    </row>
    <row r="2367" spans="15:15" x14ac:dyDescent="0.25">
      <c r="O2367" s="99"/>
    </row>
    <row r="2368" spans="15:15" x14ac:dyDescent="0.25">
      <c r="O2368" s="99"/>
    </row>
    <row r="2369" spans="15:15" x14ac:dyDescent="0.25">
      <c r="O2369" s="99"/>
    </row>
    <row r="2370" spans="15:15" x14ac:dyDescent="0.25">
      <c r="O2370" s="99"/>
    </row>
    <row r="2371" spans="15:15" x14ac:dyDescent="0.25">
      <c r="O2371" s="99"/>
    </row>
    <row r="2372" spans="15:15" x14ac:dyDescent="0.25">
      <c r="O2372" s="99"/>
    </row>
    <row r="2373" spans="15:15" x14ac:dyDescent="0.25">
      <c r="O2373" s="99"/>
    </row>
    <row r="2374" spans="15:15" x14ac:dyDescent="0.25">
      <c r="O2374" s="99"/>
    </row>
    <row r="2375" spans="15:15" x14ac:dyDescent="0.25">
      <c r="O2375" s="99"/>
    </row>
    <row r="2376" spans="15:15" x14ac:dyDescent="0.25">
      <c r="O2376" s="99"/>
    </row>
    <row r="2377" spans="15:15" x14ac:dyDescent="0.25">
      <c r="O2377" s="99"/>
    </row>
    <row r="2378" spans="15:15" x14ac:dyDescent="0.25">
      <c r="O2378" s="99"/>
    </row>
    <row r="2379" spans="15:15" x14ac:dyDescent="0.25">
      <c r="O2379" s="99"/>
    </row>
    <row r="2380" spans="15:15" x14ac:dyDescent="0.25">
      <c r="O2380" s="99"/>
    </row>
    <row r="2381" spans="15:15" x14ac:dyDescent="0.25">
      <c r="O2381" s="99"/>
    </row>
    <row r="2382" spans="15:15" x14ac:dyDescent="0.25">
      <c r="O2382" s="99"/>
    </row>
    <row r="2383" spans="15:15" x14ac:dyDescent="0.25">
      <c r="O2383" s="99"/>
    </row>
    <row r="2384" spans="15:15" x14ac:dyDescent="0.25">
      <c r="O2384" s="99"/>
    </row>
    <row r="2385" spans="15:15" x14ac:dyDescent="0.25">
      <c r="O2385" s="99"/>
    </row>
    <row r="2386" spans="15:15" x14ac:dyDescent="0.25">
      <c r="O2386" s="99"/>
    </row>
    <row r="2387" spans="15:15" x14ac:dyDescent="0.25">
      <c r="O2387" s="99"/>
    </row>
    <row r="2388" spans="15:15" x14ac:dyDescent="0.25">
      <c r="O2388" s="99"/>
    </row>
    <row r="2389" spans="15:15" x14ac:dyDescent="0.25">
      <c r="O2389" s="99"/>
    </row>
    <row r="2390" spans="15:15" x14ac:dyDescent="0.25">
      <c r="O2390" s="99"/>
    </row>
    <row r="2391" spans="15:15" x14ac:dyDescent="0.25">
      <c r="O2391" s="99"/>
    </row>
    <row r="2392" spans="15:15" x14ac:dyDescent="0.25">
      <c r="O2392" s="99"/>
    </row>
    <row r="2393" spans="15:15" x14ac:dyDescent="0.25">
      <c r="O2393" s="99"/>
    </row>
    <row r="2394" spans="15:15" x14ac:dyDescent="0.25">
      <c r="O2394" s="99"/>
    </row>
    <row r="2395" spans="15:15" x14ac:dyDescent="0.25">
      <c r="O2395" s="99"/>
    </row>
    <row r="2396" spans="15:15" x14ac:dyDescent="0.25">
      <c r="O2396" s="99"/>
    </row>
    <row r="2397" spans="15:15" x14ac:dyDescent="0.25">
      <c r="O2397" s="99"/>
    </row>
    <row r="2398" spans="15:15" x14ac:dyDescent="0.25">
      <c r="O2398" s="99"/>
    </row>
    <row r="2399" spans="15:15" x14ac:dyDescent="0.25">
      <c r="O2399" s="99"/>
    </row>
    <row r="2400" spans="15:15" x14ac:dyDescent="0.25">
      <c r="O2400" s="99"/>
    </row>
    <row r="2401" spans="15:15" x14ac:dyDescent="0.25">
      <c r="O2401" s="99"/>
    </row>
    <row r="2402" spans="15:15" x14ac:dyDescent="0.25">
      <c r="O2402" s="99"/>
    </row>
    <row r="2403" spans="15:15" x14ac:dyDescent="0.25">
      <c r="O2403" s="99"/>
    </row>
    <row r="2404" spans="15:15" x14ac:dyDescent="0.25">
      <c r="O2404" s="99"/>
    </row>
    <row r="2405" spans="15:15" x14ac:dyDescent="0.25">
      <c r="O2405" s="99"/>
    </row>
    <row r="2406" spans="15:15" x14ac:dyDescent="0.25">
      <c r="O2406" s="99"/>
    </row>
    <row r="2407" spans="15:15" x14ac:dyDescent="0.25">
      <c r="O2407" s="99"/>
    </row>
    <row r="2408" spans="15:15" x14ac:dyDescent="0.25">
      <c r="O2408" s="99"/>
    </row>
    <row r="2409" spans="15:15" x14ac:dyDescent="0.25">
      <c r="O2409" s="99"/>
    </row>
    <row r="2410" spans="15:15" x14ac:dyDescent="0.25">
      <c r="O2410" s="99"/>
    </row>
    <row r="2411" spans="15:15" x14ac:dyDescent="0.25">
      <c r="O2411" s="99"/>
    </row>
    <row r="2412" spans="15:15" x14ac:dyDescent="0.25">
      <c r="O2412" s="99"/>
    </row>
    <row r="2413" spans="15:15" x14ac:dyDescent="0.25">
      <c r="O2413" s="99"/>
    </row>
    <row r="2414" spans="15:15" x14ac:dyDescent="0.25">
      <c r="O2414" s="99"/>
    </row>
    <row r="2415" spans="15:15" x14ac:dyDescent="0.25">
      <c r="O2415" s="99"/>
    </row>
    <row r="2416" spans="15:15" x14ac:dyDescent="0.25">
      <c r="O2416" s="99"/>
    </row>
    <row r="2417" spans="15:15" x14ac:dyDescent="0.25">
      <c r="O2417" s="99"/>
    </row>
    <row r="2418" spans="15:15" x14ac:dyDescent="0.25">
      <c r="O2418" s="99"/>
    </row>
    <row r="2419" spans="15:15" x14ac:dyDescent="0.25">
      <c r="O2419" s="99"/>
    </row>
    <row r="2420" spans="15:15" x14ac:dyDescent="0.25">
      <c r="O2420" s="99"/>
    </row>
    <row r="2421" spans="15:15" x14ac:dyDescent="0.25">
      <c r="O2421" s="99"/>
    </row>
    <row r="2422" spans="15:15" x14ac:dyDescent="0.25">
      <c r="O2422" s="99"/>
    </row>
    <row r="2423" spans="15:15" x14ac:dyDescent="0.25">
      <c r="O2423" s="99"/>
    </row>
    <row r="2424" spans="15:15" x14ac:dyDescent="0.25">
      <c r="O2424" s="99"/>
    </row>
    <row r="2425" spans="15:15" x14ac:dyDescent="0.25">
      <c r="O2425" s="99"/>
    </row>
    <row r="2426" spans="15:15" x14ac:dyDescent="0.25">
      <c r="O2426" s="99"/>
    </row>
    <row r="2427" spans="15:15" x14ac:dyDescent="0.25">
      <c r="O2427" s="99"/>
    </row>
    <row r="2428" spans="15:15" x14ac:dyDescent="0.25">
      <c r="O2428" s="99"/>
    </row>
    <row r="2429" spans="15:15" x14ac:dyDescent="0.25">
      <c r="O2429" s="99"/>
    </row>
    <row r="2430" spans="15:15" x14ac:dyDescent="0.25">
      <c r="O2430" s="99"/>
    </row>
    <row r="2431" spans="15:15" x14ac:dyDescent="0.25">
      <c r="O2431" s="99"/>
    </row>
    <row r="2432" spans="15:15" x14ac:dyDescent="0.25">
      <c r="O2432" s="99"/>
    </row>
    <row r="2433" spans="15:15" x14ac:dyDescent="0.25">
      <c r="O2433" s="99"/>
    </row>
    <row r="2434" spans="15:15" x14ac:dyDescent="0.25">
      <c r="O2434" s="99"/>
    </row>
    <row r="2435" spans="15:15" x14ac:dyDescent="0.25">
      <c r="O2435" s="99"/>
    </row>
    <row r="2436" spans="15:15" x14ac:dyDescent="0.25">
      <c r="O2436" s="99"/>
    </row>
    <row r="2437" spans="15:15" x14ac:dyDescent="0.25">
      <c r="O2437" s="99"/>
    </row>
    <row r="2438" spans="15:15" x14ac:dyDescent="0.25">
      <c r="O2438" s="99"/>
    </row>
    <row r="2439" spans="15:15" x14ac:dyDescent="0.25">
      <c r="O2439" s="99"/>
    </row>
    <row r="2440" spans="15:15" x14ac:dyDescent="0.25">
      <c r="O2440" s="99"/>
    </row>
    <row r="2441" spans="15:15" x14ac:dyDescent="0.25">
      <c r="O2441" s="99"/>
    </row>
    <row r="2442" spans="15:15" x14ac:dyDescent="0.25">
      <c r="O2442" s="99"/>
    </row>
    <row r="2443" spans="15:15" x14ac:dyDescent="0.25">
      <c r="O2443" s="99"/>
    </row>
    <row r="2444" spans="15:15" x14ac:dyDescent="0.25">
      <c r="O2444" s="99"/>
    </row>
    <row r="2445" spans="15:15" x14ac:dyDescent="0.25">
      <c r="O2445" s="99"/>
    </row>
    <row r="2446" spans="15:15" x14ac:dyDescent="0.25">
      <c r="O2446" s="99"/>
    </row>
    <row r="2447" spans="15:15" x14ac:dyDescent="0.25">
      <c r="O2447" s="99"/>
    </row>
    <row r="2448" spans="15:15" x14ac:dyDescent="0.25">
      <c r="O2448" s="99"/>
    </row>
    <row r="2449" spans="15:15" x14ac:dyDescent="0.25">
      <c r="O2449" s="99"/>
    </row>
    <row r="2450" spans="15:15" x14ac:dyDescent="0.25">
      <c r="O2450" s="99"/>
    </row>
    <row r="2451" spans="15:15" x14ac:dyDescent="0.25">
      <c r="O2451" s="99"/>
    </row>
    <row r="2452" spans="15:15" x14ac:dyDescent="0.25">
      <c r="O2452" s="99"/>
    </row>
    <row r="2453" spans="15:15" x14ac:dyDescent="0.25">
      <c r="O2453" s="99"/>
    </row>
    <row r="2454" spans="15:15" x14ac:dyDescent="0.25">
      <c r="O2454" s="99"/>
    </row>
    <row r="2455" spans="15:15" x14ac:dyDescent="0.25">
      <c r="O2455" s="99"/>
    </row>
    <row r="2456" spans="15:15" x14ac:dyDescent="0.25">
      <c r="O2456" s="99"/>
    </row>
    <row r="2457" spans="15:15" x14ac:dyDescent="0.25">
      <c r="O2457" s="99"/>
    </row>
    <row r="2458" spans="15:15" x14ac:dyDescent="0.25">
      <c r="O2458" s="99"/>
    </row>
    <row r="2459" spans="15:15" x14ac:dyDescent="0.25">
      <c r="O2459" s="99"/>
    </row>
    <row r="2460" spans="15:15" x14ac:dyDescent="0.25">
      <c r="O2460" s="99"/>
    </row>
    <row r="2461" spans="15:15" x14ac:dyDescent="0.25">
      <c r="O2461" s="99"/>
    </row>
    <row r="2462" spans="15:15" x14ac:dyDescent="0.25">
      <c r="O2462" s="99"/>
    </row>
    <row r="2463" spans="15:15" x14ac:dyDescent="0.25">
      <c r="O2463" s="99"/>
    </row>
    <row r="2464" spans="15:15" x14ac:dyDescent="0.25">
      <c r="O2464" s="99"/>
    </row>
    <row r="2465" spans="15:15" x14ac:dyDescent="0.25">
      <c r="O2465" s="99"/>
    </row>
    <row r="2466" spans="15:15" x14ac:dyDescent="0.25">
      <c r="O2466" s="99"/>
    </row>
    <row r="2467" spans="15:15" x14ac:dyDescent="0.25">
      <c r="O2467" s="99"/>
    </row>
    <row r="2468" spans="15:15" x14ac:dyDescent="0.25">
      <c r="O2468" s="99"/>
    </row>
    <row r="2469" spans="15:15" x14ac:dyDescent="0.25">
      <c r="O2469" s="99"/>
    </row>
    <row r="2470" spans="15:15" x14ac:dyDescent="0.25">
      <c r="O2470" s="99"/>
    </row>
    <row r="2471" spans="15:15" x14ac:dyDescent="0.25">
      <c r="O2471" s="99"/>
    </row>
    <row r="2472" spans="15:15" x14ac:dyDescent="0.25">
      <c r="O2472" s="99"/>
    </row>
    <row r="2473" spans="15:15" x14ac:dyDescent="0.25">
      <c r="O2473" s="99"/>
    </row>
    <row r="2474" spans="15:15" x14ac:dyDescent="0.25">
      <c r="O2474" s="99"/>
    </row>
    <row r="2475" spans="15:15" x14ac:dyDescent="0.25">
      <c r="O2475" s="99"/>
    </row>
    <row r="2476" spans="15:15" x14ac:dyDescent="0.25">
      <c r="O2476" s="99"/>
    </row>
    <row r="2477" spans="15:15" x14ac:dyDescent="0.25">
      <c r="O2477" s="99"/>
    </row>
    <row r="2478" spans="15:15" x14ac:dyDescent="0.25">
      <c r="O2478" s="99"/>
    </row>
    <row r="2479" spans="15:15" x14ac:dyDescent="0.25">
      <c r="O2479" s="99"/>
    </row>
    <row r="2480" spans="15:15" x14ac:dyDescent="0.25">
      <c r="O2480" s="99"/>
    </row>
    <row r="2481" spans="15:15" x14ac:dyDescent="0.25">
      <c r="O2481" s="99"/>
    </row>
    <row r="2482" spans="15:15" x14ac:dyDescent="0.25">
      <c r="O2482" s="99"/>
    </row>
    <row r="2483" spans="15:15" x14ac:dyDescent="0.25">
      <c r="O2483" s="99"/>
    </row>
    <row r="2484" spans="15:15" x14ac:dyDescent="0.25">
      <c r="O2484" s="99"/>
    </row>
    <row r="2485" spans="15:15" x14ac:dyDescent="0.25">
      <c r="O2485" s="99"/>
    </row>
    <row r="2486" spans="15:15" x14ac:dyDescent="0.25">
      <c r="O2486" s="99"/>
    </row>
    <row r="2487" spans="15:15" x14ac:dyDescent="0.25">
      <c r="O2487" s="99"/>
    </row>
    <row r="2488" spans="15:15" x14ac:dyDescent="0.25">
      <c r="O2488" s="99"/>
    </row>
    <row r="2489" spans="15:15" x14ac:dyDescent="0.25">
      <c r="O2489" s="99"/>
    </row>
    <row r="2490" spans="15:15" x14ac:dyDescent="0.25">
      <c r="O2490" s="99"/>
    </row>
    <row r="2491" spans="15:15" x14ac:dyDescent="0.25">
      <c r="O2491" s="99"/>
    </row>
    <row r="2492" spans="15:15" x14ac:dyDescent="0.25">
      <c r="O2492" s="99"/>
    </row>
    <row r="2493" spans="15:15" x14ac:dyDescent="0.25">
      <c r="O2493" s="99"/>
    </row>
    <row r="2494" spans="15:15" x14ac:dyDescent="0.25">
      <c r="O2494" s="99"/>
    </row>
    <row r="2495" spans="15:15" x14ac:dyDescent="0.25">
      <c r="O2495" s="99"/>
    </row>
    <row r="2496" spans="15:15" x14ac:dyDescent="0.25">
      <c r="O2496" s="99"/>
    </row>
    <row r="2497" spans="15:15" x14ac:dyDescent="0.25">
      <c r="O2497" s="99"/>
    </row>
    <row r="2498" spans="15:15" x14ac:dyDescent="0.25">
      <c r="O2498" s="99"/>
    </row>
    <row r="2499" spans="15:15" x14ac:dyDescent="0.25">
      <c r="O2499" s="99"/>
    </row>
    <row r="2500" spans="15:15" x14ac:dyDescent="0.25">
      <c r="O2500" s="99"/>
    </row>
    <row r="2501" spans="15:15" x14ac:dyDescent="0.25">
      <c r="O2501" s="99"/>
    </row>
    <row r="2502" spans="15:15" x14ac:dyDescent="0.25">
      <c r="O2502" s="99"/>
    </row>
    <row r="2503" spans="15:15" x14ac:dyDescent="0.25">
      <c r="O2503" s="99"/>
    </row>
    <row r="2504" spans="15:15" x14ac:dyDescent="0.25">
      <c r="O2504" s="99"/>
    </row>
    <row r="2505" spans="15:15" x14ac:dyDescent="0.25">
      <c r="O2505" s="99"/>
    </row>
    <row r="2506" spans="15:15" x14ac:dyDescent="0.25">
      <c r="O2506" s="99"/>
    </row>
    <row r="2507" spans="15:15" x14ac:dyDescent="0.25">
      <c r="O2507" s="99"/>
    </row>
    <row r="2508" spans="15:15" x14ac:dyDescent="0.25">
      <c r="O2508" s="99"/>
    </row>
    <row r="2509" spans="15:15" x14ac:dyDescent="0.25">
      <c r="O2509" s="99"/>
    </row>
    <row r="2510" spans="15:15" x14ac:dyDescent="0.25">
      <c r="O2510" s="99"/>
    </row>
    <row r="2511" spans="15:15" x14ac:dyDescent="0.25">
      <c r="O2511" s="99"/>
    </row>
    <row r="2512" spans="15:15" x14ac:dyDescent="0.25">
      <c r="O2512" s="99"/>
    </row>
    <row r="2513" spans="15:15" x14ac:dyDescent="0.25">
      <c r="O2513" s="99"/>
    </row>
    <row r="2514" spans="15:15" x14ac:dyDescent="0.25">
      <c r="O2514" s="99"/>
    </row>
    <row r="2515" spans="15:15" x14ac:dyDescent="0.25">
      <c r="O2515" s="99"/>
    </row>
    <row r="2516" spans="15:15" x14ac:dyDescent="0.25">
      <c r="O2516" s="99"/>
    </row>
    <row r="2517" spans="15:15" x14ac:dyDescent="0.25">
      <c r="O2517" s="99"/>
    </row>
    <row r="2518" spans="15:15" x14ac:dyDescent="0.25">
      <c r="O2518" s="99"/>
    </row>
    <row r="2519" spans="15:15" x14ac:dyDescent="0.25">
      <c r="O2519" s="99"/>
    </row>
    <row r="2520" spans="15:15" x14ac:dyDescent="0.25">
      <c r="O2520" s="99"/>
    </row>
    <row r="2521" spans="15:15" x14ac:dyDescent="0.25">
      <c r="O2521" s="99"/>
    </row>
    <row r="2522" spans="15:15" x14ac:dyDescent="0.25">
      <c r="O2522" s="99"/>
    </row>
    <row r="2523" spans="15:15" x14ac:dyDescent="0.25">
      <c r="O2523" s="99"/>
    </row>
    <row r="2524" spans="15:15" x14ac:dyDescent="0.25">
      <c r="O2524" s="99"/>
    </row>
    <row r="2525" spans="15:15" x14ac:dyDescent="0.25">
      <c r="O2525" s="99"/>
    </row>
    <row r="2526" spans="15:15" x14ac:dyDescent="0.25">
      <c r="O2526" s="99"/>
    </row>
    <row r="2527" spans="15:15" x14ac:dyDescent="0.25">
      <c r="O2527" s="99"/>
    </row>
    <row r="2528" spans="15:15" x14ac:dyDescent="0.25">
      <c r="O2528" s="99"/>
    </row>
    <row r="2529" spans="15:15" x14ac:dyDescent="0.25">
      <c r="O2529" s="99"/>
    </row>
    <row r="2530" spans="15:15" x14ac:dyDescent="0.25">
      <c r="O2530" s="99"/>
    </row>
    <row r="2531" spans="15:15" x14ac:dyDescent="0.25">
      <c r="O2531" s="99"/>
    </row>
    <row r="2532" spans="15:15" x14ac:dyDescent="0.25">
      <c r="O2532" s="99"/>
    </row>
    <row r="2533" spans="15:15" x14ac:dyDescent="0.25">
      <c r="O2533" s="99"/>
    </row>
    <row r="2534" spans="15:15" x14ac:dyDescent="0.25">
      <c r="O2534" s="99"/>
    </row>
    <row r="2535" spans="15:15" x14ac:dyDescent="0.25">
      <c r="O2535" s="99"/>
    </row>
    <row r="2536" spans="15:15" x14ac:dyDescent="0.25">
      <c r="O2536" s="99"/>
    </row>
    <row r="2537" spans="15:15" x14ac:dyDescent="0.25">
      <c r="O2537" s="99"/>
    </row>
    <row r="2538" spans="15:15" x14ac:dyDescent="0.25">
      <c r="O2538" s="99"/>
    </row>
    <row r="2539" spans="15:15" x14ac:dyDescent="0.25">
      <c r="O2539" s="99"/>
    </row>
    <row r="2540" spans="15:15" x14ac:dyDescent="0.25">
      <c r="O2540" s="99"/>
    </row>
    <row r="2541" spans="15:15" x14ac:dyDescent="0.25">
      <c r="O2541" s="99"/>
    </row>
    <row r="2542" spans="15:15" x14ac:dyDescent="0.25">
      <c r="O2542" s="99"/>
    </row>
    <row r="2543" spans="15:15" x14ac:dyDescent="0.25">
      <c r="O2543" s="99"/>
    </row>
    <row r="2544" spans="15:15" x14ac:dyDescent="0.25">
      <c r="O2544" s="99"/>
    </row>
    <row r="2545" spans="15:15" x14ac:dyDescent="0.25">
      <c r="O2545" s="99"/>
    </row>
    <row r="2546" spans="15:15" x14ac:dyDescent="0.25">
      <c r="O2546" s="99"/>
    </row>
    <row r="2547" spans="15:15" x14ac:dyDescent="0.25">
      <c r="O2547" s="99"/>
    </row>
    <row r="2548" spans="15:15" x14ac:dyDescent="0.25">
      <c r="O2548" s="99"/>
    </row>
    <row r="2549" spans="15:15" x14ac:dyDescent="0.25">
      <c r="O2549" s="99"/>
    </row>
    <row r="2550" spans="15:15" x14ac:dyDescent="0.25">
      <c r="O2550" s="99"/>
    </row>
    <row r="2551" spans="15:15" x14ac:dyDescent="0.25">
      <c r="O2551" s="99"/>
    </row>
    <row r="2552" spans="15:15" x14ac:dyDescent="0.25">
      <c r="O2552" s="99"/>
    </row>
    <row r="2553" spans="15:15" x14ac:dyDescent="0.25">
      <c r="O2553" s="99"/>
    </row>
    <row r="2554" spans="15:15" x14ac:dyDescent="0.25">
      <c r="O2554" s="99"/>
    </row>
    <row r="2555" spans="15:15" x14ac:dyDescent="0.25">
      <c r="O2555" s="99"/>
    </row>
    <row r="2556" spans="15:15" x14ac:dyDescent="0.25">
      <c r="O2556" s="99"/>
    </row>
    <row r="2557" spans="15:15" x14ac:dyDescent="0.25">
      <c r="O2557" s="99"/>
    </row>
    <row r="2558" spans="15:15" x14ac:dyDescent="0.25">
      <c r="O2558" s="99"/>
    </row>
    <row r="2559" spans="15:15" x14ac:dyDescent="0.25">
      <c r="O2559" s="99"/>
    </row>
    <row r="2560" spans="15:15" x14ac:dyDescent="0.25">
      <c r="O2560" s="99"/>
    </row>
    <row r="2561" spans="15:15" x14ac:dyDescent="0.25">
      <c r="O2561" s="99"/>
    </row>
    <row r="2562" spans="15:15" x14ac:dyDescent="0.25">
      <c r="O2562" s="99"/>
    </row>
    <row r="2563" spans="15:15" x14ac:dyDescent="0.25">
      <c r="O2563" s="99"/>
    </row>
    <row r="2564" spans="15:15" x14ac:dyDescent="0.25">
      <c r="O2564" s="99"/>
    </row>
    <row r="2565" spans="15:15" x14ac:dyDescent="0.25">
      <c r="O2565" s="99"/>
    </row>
    <row r="2566" spans="15:15" x14ac:dyDescent="0.25">
      <c r="O2566" s="99"/>
    </row>
    <row r="2567" spans="15:15" x14ac:dyDescent="0.25">
      <c r="O2567" s="99"/>
    </row>
    <row r="2568" spans="15:15" x14ac:dyDescent="0.25">
      <c r="O2568" s="99"/>
    </row>
    <row r="2569" spans="15:15" x14ac:dyDescent="0.25">
      <c r="O2569" s="99"/>
    </row>
    <row r="2570" spans="15:15" x14ac:dyDescent="0.25">
      <c r="O2570" s="99"/>
    </row>
    <row r="2571" spans="15:15" x14ac:dyDescent="0.25">
      <c r="O2571" s="99"/>
    </row>
    <row r="2572" spans="15:15" x14ac:dyDescent="0.25">
      <c r="O2572" s="99"/>
    </row>
    <row r="2573" spans="15:15" x14ac:dyDescent="0.25">
      <c r="O2573" s="99"/>
    </row>
    <row r="2574" spans="15:15" x14ac:dyDescent="0.25">
      <c r="O2574" s="99"/>
    </row>
    <row r="2575" spans="15:15" x14ac:dyDescent="0.25">
      <c r="O2575" s="99"/>
    </row>
    <row r="2576" spans="15:15" x14ac:dyDescent="0.25">
      <c r="O2576" s="99"/>
    </row>
    <row r="2577" spans="15:15" x14ac:dyDescent="0.25">
      <c r="O2577" s="99"/>
    </row>
    <row r="2578" spans="15:15" x14ac:dyDescent="0.25">
      <c r="O2578" s="99"/>
    </row>
    <row r="2579" spans="15:15" x14ac:dyDescent="0.25">
      <c r="O2579" s="99"/>
    </row>
    <row r="2580" spans="15:15" x14ac:dyDescent="0.25">
      <c r="O2580" s="99"/>
    </row>
    <row r="2581" spans="15:15" x14ac:dyDescent="0.25">
      <c r="O2581" s="99"/>
    </row>
    <row r="2582" spans="15:15" x14ac:dyDescent="0.25">
      <c r="O2582" s="99"/>
    </row>
    <row r="2583" spans="15:15" x14ac:dyDescent="0.25">
      <c r="O2583" s="99"/>
    </row>
    <row r="2584" spans="15:15" x14ac:dyDescent="0.25">
      <c r="O2584" s="99"/>
    </row>
    <row r="2585" spans="15:15" x14ac:dyDescent="0.25">
      <c r="O2585" s="99"/>
    </row>
    <row r="2586" spans="15:15" x14ac:dyDescent="0.25">
      <c r="O2586" s="99"/>
    </row>
    <row r="2587" spans="15:15" x14ac:dyDescent="0.25">
      <c r="O2587" s="99"/>
    </row>
    <row r="2588" spans="15:15" x14ac:dyDescent="0.25">
      <c r="O2588" s="99"/>
    </row>
    <row r="2589" spans="15:15" x14ac:dyDescent="0.25">
      <c r="O2589" s="99"/>
    </row>
    <row r="2590" spans="15:15" x14ac:dyDescent="0.25">
      <c r="O2590" s="99"/>
    </row>
    <row r="2591" spans="15:15" x14ac:dyDescent="0.25">
      <c r="O2591" s="99"/>
    </row>
    <row r="2592" spans="15:15" x14ac:dyDescent="0.25">
      <c r="O2592" s="99"/>
    </row>
    <row r="2593" spans="15:15" x14ac:dyDescent="0.25">
      <c r="O2593" s="99"/>
    </row>
    <row r="2594" spans="15:15" x14ac:dyDescent="0.25">
      <c r="O2594" s="99"/>
    </row>
    <row r="2595" spans="15:15" x14ac:dyDescent="0.25">
      <c r="O2595" s="99"/>
    </row>
    <row r="2596" spans="15:15" x14ac:dyDescent="0.25">
      <c r="O2596" s="99"/>
    </row>
    <row r="2597" spans="15:15" x14ac:dyDescent="0.25">
      <c r="O2597" s="99"/>
    </row>
    <row r="2598" spans="15:15" x14ac:dyDescent="0.25">
      <c r="O2598" s="99"/>
    </row>
    <row r="2599" spans="15:15" x14ac:dyDescent="0.25">
      <c r="O2599" s="99"/>
    </row>
    <row r="2600" spans="15:15" x14ac:dyDescent="0.25">
      <c r="O2600" s="99"/>
    </row>
    <row r="2601" spans="15:15" x14ac:dyDescent="0.25">
      <c r="O2601" s="99"/>
    </row>
    <row r="2602" spans="15:15" x14ac:dyDescent="0.25">
      <c r="O2602" s="99"/>
    </row>
    <row r="2603" spans="15:15" x14ac:dyDescent="0.25">
      <c r="O2603" s="99"/>
    </row>
    <row r="2604" spans="15:15" x14ac:dyDescent="0.25">
      <c r="O2604" s="99"/>
    </row>
    <row r="2605" spans="15:15" x14ac:dyDescent="0.25">
      <c r="O2605" s="99"/>
    </row>
    <row r="2606" spans="15:15" x14ac:dyDescent="0.25">
      <c r="O2606" s="99"/>
    </row>
    <row r="2607" spans="15:15" x14ac:dyDescent="0.25">
      <c r="O2607" s="99"/>
    </row>
    <row r="2608" spans="15:15" x14ac:dyDescent="0.25">
      <c r="O2608" s="99"/>
    </row>
    <row r="2609" spans="15:15" x14ac:dyDescent="0.25">
      <c r="O2609" s="99"/>
    </row>
    <row r="2610" spans="15:15" x14ac:dyDescent="0.25">
      <c r="O2610" s="99"/>
    </row>
    <row r="2611" spans="15:15" x14ac:dyDescent="0.25">
      <c r="O2611" s="99"/>
    </row>
    <row r="2612" spans="15:15" x14ac:dyDescent="0.25">
      <c r="O2612" s="99"/>
    </row>
    <row r="2613" spans="15:15" x14ac:dyDescent="0.25">
      <c r="O2613" s="99"/>
    </row>
    <row r="2614" spans="15:15" x14ac:dyDescent="0.25">
      <c r="O2614" s="99"/>
    </row>
    <row r="2615" spans="15:15" x14ac:dyDescent="0.25">
      <c r="O2615" s="99"/>
    </row>
    <row r="2616" spans="15:15" x14ac:dyDescent="0.25">
      <c r="O2616" s="99"/>
    </row>
    <row r="2617" spans="15:15" x14ac:dyDescent="0.25">
      <c r="O2617" s="99"/>
    </row>
    <row r="2618" spans="15:15" x14ac:dyDescent="0.25">
      <c r="O2618" s="99"/>
    </row>
    <row r="2619" spans="15:15" x14ac:dyDescent="0.25">
      <c r="O2619" s="99"/>
    </row>
    <row r="2620" spans="15:15" x14ac:dyDescent="0.25">
      <c r="O2620" s="99"/>
    </row>
    <row r="2621" spans="15:15" x14ac:dyDescent="0.25">
      <c r="O2621" s="99"/>
    </row>
    <row r="2622" spans="15:15" x14ac:dyDescent="0.25">
      <c r="O2622" s="99"/>
    </row>
    <row r="2623" spans="15:15" x14ac:dyDescent="0.25">
      <c r="O2623" s="99"/>
    </row>
    <row r="2624" spans="15:15" x14ac:dyDescent="0.25">
      <c r="O2624" s="99"/>
    </row>
    <row r="2625" spans="15:15" x14ac:dyDescent="0.25">
      <c r="O2625" s="99"/>
    </row>
    <row r="2626" spans="15:15" x14ac:dyDescent="0.25">
      <c r="O2626" s="99"/>
    </row>
    <row r="2627" spans="15:15" x14ac:dyDescent="0.25">
      <c r="O2627" s="99"/>
    </row>
    <row r="2628" spans="15:15" x14ac:dyDescent="0.25">
      <c r="O2628" s="99"/>
    </row>
    <row r="2629" spans="15:15" x14ac:dyDescent="0.25">
      <c r="O2629" s="99"/>
    </row>
    <row r="2630" spans="15:15" x14ac:dyDescent="0.25">
      <c r="O2630" s="99"/>
    </row>
    <row r="2631" spans="15:15" x14ac:dyDescent="0.25">
      <c r="O2631" s="99"/>
    </row>
    <row r="2632" spans="15:15" x14ac:dyDescent="0.25">
      <c r="O2632" s="99"/>
    </row>
    <row r="2633" spans="15:15" x14ac:dyDescent="0.25">
      <c r="O2633" s="99"/>
    </row>
    <row r="2634" spans="15:15" x14ac:dyDescent="0.25">
      <c r="O2634" s="99"/>
    </row>
    <row r="2635" spans="15:15" x14ac:dyDescent="0.25">
      <c r="O2635" s="99"/>
    </row>
    <row r="2636" spans="15:15" x14ac:dyDescent="0.25">
      <c r="O2636" s="99"/>
    </row>
    <row r="2637" spans="15:15" x14ac:dyDescent="0.25">
      <c r="O2637" s="99"/>
    </row>
    <row r="2638" spans="15:15" x14ac:dyDescent="0.25">
      <c r="O2638" s="99"/>
    </row>
    <row r="2639" spans="15:15" x14ac:dyDescent="0.25">
      <c r="O2639" s="99"/>
    </row>
    <row r="2640" spans="15:15" x14ac:dyDescent="0.25">
      <c r="O2640" s="99"/>
    </row>
    <row r="2641" spans="15:15" x14ac:dyDescent="0.25">
      <c r="O2641" s="99"/>
    </row>
    <row r="2642" spans="15:15" x14ac:dyDescent="0.25">
      <c r="O2642" s="99"/>
    </row>
    <row r="2643" spans="15:15" x14ac:dyDescent="0.25">
      <c r="O2643" s="99"/>
    </row>
    <row r="2644" spans="15:15" x14ac:dyDescent="0.25">
      <c r="O2644" s="99"/>
    </row>
    <row r="2645" spans="15:15" x14ac:dyDescent="0.25">
      <c r="O2645" s="99"/>
    </row>
    <row r="2646" spans="15:15" x14ac:dyDescent="0.25">
      <c r="O2646" s="99"/>
    </row>
    <row r="2647" spans="15:15" x14ac:dyDescent="0.25">
      <c r="O2647" s="99"/>
    </row>
    <row r="2648" spans="15:15" x14ac:dyDescent="0.25">
      <c r="O2648" s="99"/>
    </row>
    <row r="2649" spans="15:15" x14ac:dyDescent="0.25">
      <c r="O2649" s="99"/>
    </row>
    <row r="2650" spans="15:15" x14ac:dyDescent="0.25">
      <c r="O2650" s="99"/>
    </row>
    <row r="2651" spans="15:15" x14ac:dyDescent="0.25">
      <c r="O2651" s="99"/>
    </row>
    <row r="2652" spans="15:15" x14ac:dyDescent="0.25">
      <c r="O2652" s="99"/>
    </row>
    <row r="2653" spans="15:15" x14ac:dyDescent="0.25">
      <c r="O2653" s="99"/>
    </row>
    <row r="2654" spans="15:15" x14ac:dyDescent="0.25">
      <c r="O2654" s="99"/>
    </row>
    <row r="2655" spans="15:15" x14ac:dyDescent="0.25">
      <c r="O2655" s="99"/>
    </row>
    <row r="2656" spans="15:15" x14ac:dyDescent="0.25">
      <c r="O2656" s="99"/>
    </row>
    <row r="2657" spans="15:15" x14ac:dyDescent="0.25">
      <c r="O2657" s="99"/>
    </row>
    <row r="2658" spans="15:15" x14ac:dyDescent="0.25">
      <c r="O2658" s="99"/>
    </row>
    <row r="2659" spans="15:15" x14ac:dyDescent="0.25">
      <c r="O2659" s="99"/>
    </row>
    <row r="2660" spans="15:15" x14ac:dyDescent="0.25">
      <c r="O2660" s="99"/>
    </row>
    <row r="2661" spans="15:15" x14ac:dyDescent="0.25">
      <c r="O2661" s="99"/>
    </row>
    <row r="2662" spans="15:15" x14ac:dyDescent="0.25">
      <c r="O2662" s="99"/>
    </row>
    <row r="2663" spans="15:15" x14ac:dyDescent="0.25">
      <c r="O2663" s="99"/>
    </row>
    <row r="2664" spans="15:15" x14ac:dyDescent="0.25">
      <c r="O2664" s="99"/>
    </row>
    <row r="2665" spans="15:15" x14ac:dyDescent="0.25">
      <c r="O2665" s="99"/>
    </row>
    <row r="2666" spans="15:15" x14ac:dyDescent="0.25">
      <c r="O2666" s="99"/>
    </row>
    <row r="2667" spans="15:15" x14ac:dyDescent="0.25">
      <c r="O2667" s="99"/>
    </row>
    <row r="2668" spans="15:15" x14ac:dyDescent="0.25">
      <c r="O2668" s="99"/>
    </row>
    <row r="2669" spans="15:15" x14ac:dyDescent="0.25">
      <c r="O2669" s="99"/>
    </row>
    <row r="2670" spans="15:15" x14ac:dyDescent="0.25">
      <c r="O2670" s="99"/>
    </row>
    <row r="2671" spans="15:15" x14ac:dyDescent="0.25">
      <c r="O2671" s="99"/>
    </row>
    <row r="2672" spans="15:15" x14ac:dyDescent="0.25">
      <c r="O2672" s="99"/>
    </row>
    <row r="2673" spans="15:15" x14ac:dyDescent="0.25">
      <c r="O2673" s="99"/>
    </row>
    <row r="2674" spans="15:15" x14ac:dyDescent="0.25">
      <c r="O2674" s="99"/>
    </row>
    <row r="2675" spans="15:15" x14ac:dyDescent="0.25">
      <c r="O2675" s="99"/>
    </row>
    <row r="2676" spans="15:15" x14ac:dyDescent="0.25">
      <c r="O2676" s="99"/>
    </row>
    <row r="2677" spans="15:15" x14ac:dyDescent="0.25">
      <c r="O2677" s="99"/>
    </row>
    <row r="2678" spans="15:15" x14ac:dyDescent="0.25">
      <c r="O2678" s="99"/>
    </row>
    <row r="2679" spans="15:15" x14ac:dyDescent="0.25">
      <c r="O2679" s="99"/>
    </row>
    <row r="2680" spans="15:15" x14ac:dyDescent="0.25">
      <c r="O2680" s="99"/>
    </row>
    <row r="2681" spans="15:15" x14ac:dyDescent="0.25">
      <c r="O2681" s="99"/>
    </row>
    <row r="2682" spans="15:15" x14ac:dyDescent="0.25">
      <c r="O2682" s="99"/>
    </row>
    <row r="2683" spans="15:15" x14ac:dyDescent="0.25">
      <c r="O2683" s="99"/>
    </row>
    <row r="2684" spans="15:15" x14ac:dyDescent="0.25">
      <c r="O2684" s="99"/>
    </row>
    <row r="2685" spans="15:15" x14ac:dyDescent="0.25">
      <c r="O2685" s="99"/>
    </row>
    <row r="2686" spans="15:15" x14ac:dyDescent="0.25">
      <c r="O2686" s="99"/>
    </row>
    <row r="2687" spans="15:15" x14ac:dyDescent="0.25">
      <c r="O2687" s="99"/>
    </row>
    <row r="2688" spans="15:15" x14ac:dyDescent="0.25">
      <c r="O2688" s="99"/>
    </row>
    <row r="2689" spans="15:15" x14ac:dyDescent="0.25">
      <c r="O2689" s="99"/>
    </row>
    <row r="2690" spans="15:15" x14ac:dyDescent="0.25">
      <c r="O2690" s="99"/>
    </row>
    <row r="2691" spans="15:15" x14ac:dyDescent="0.25">
      <c r="O2691" s="99"/>
    </row>
    <row r="2692" spans="15:15" x14ac:dyDescent="0.25">
      <c r="O2692" s="99"/>
    </row>
    <row r="2693" spans="15:15" x14ac:dyDescent="0.25">
      <c r="O2693" s="99"/>
    </row>
    <row r="2694" spans="15:15" x14ac:dyDescent="0.25">
      <c r="O2694" s="99"/>
    </row>
    <row r="2695" spans="15:15" x14ac:dyDescent="0.25">
      <c r="O2695" s="99"/>
    </row>
    <row r="2696" spans="15:15" x14ac:dyDescent="0.25">
      <c r="O2696" s="99"/>
    </row>
    <row r="2697" spans="15:15" x14ac:dyDescent="0.25">
      <c r="O2697" s="99"/>
    </row>
    <row r="2698" spans="15:15" x14ac:dyDescent="0.25">
      <c r="O2698" s="99"/>
    </row>
    <row r="2699" spans="15:15" x14ac:dyDescent="0.25">
      <c r="O2699" s="99"/>
    </row>
    <row r="2700" spans="15:15" x14ac:dyDescent="0.25">
      <c r="O2700" s="99"/>
    </row>
    <row r="2701" spans="15:15" x14ac:dyDescent="0.25">
      <c r="O2701" s="99"/>
    </row>
    <row r="2702" spans="15:15" x14ac:dyDescent="0.25">
      <c r="O2702" s="99"/>
    </row>
    <row r="2703" spans="15:15" x14ac:dyDescent="0.25">
      <c r="O2703" s="99"/>
    </row>
    <row r="2704" spans="15:15" x14ac:dyDescent="0.25">
      <c r="O2704" s="99"/>
    </row>
    <row r="2705" spans="15:15" x14ac:dyDescent="0.25">
      <c r="O2705" s="99"/>
    </row>
    <row r="2706" spans="15:15" x14ac:dyDescent="0.25">
      <c r="O2706" s="99"/>
    </row>
    <row r="2707" spans="15:15" x14ac:dyDescent="0.25">
      <c r="O2707" s="99"/>
    </row>
    <row r="2708" spans="15:15" x14ac:dyDescent="0.25">
      <c r="O2708" s="99"/>
    </row>
    <row r="2709" spans="15:15" x14ac:dyDescent="0.25">
      <c r="O2709" s="99"/>
    </row>
    <row r="2710" spans="15:15" x14ac:dyDescent="0.25">
      <c r="O2710" s="99"/>
    </row>
    <row r="2711" spans="15:15" x14ac:dyDescent="0.25">
      <c r="O2711" s="99"/>
    </row>
    <row r="2712" spans="15:15" x14ac:dyDescent="0.25">
      <c r="O2712" s="99"/>
    </row>
    <row r="2713" spans="15:15" x14ac:dyDescent="0.25">
      <c r="O2713" s="99"/>
    </row>
    <row r="2714" spans="15:15" x14ac:dyDescent="0.25">
      <c r="O2714" s="99"/>
    </row>
    <row r="2715" spans="15:15" x14ac:dyDescent="0.25">
      <c r="O2715" s="99"/>
    </row>
    <row r="2716" spans="15:15" x14ac:dyDescent="0.25">
      <c r="O2716" s="99"/>
    </row>
    <row r="2717" spans="15:15" x14ac:dyDescent="0.25">
      <c r="O2717" s="99"/>
    </row>
    <row r="2718" spans="15:15" x14ac:dyDescent="0.25">
      <c r="O2718" s="99"/>
    </row>
    <row r="2719" spans="15:15" x14ac:dyDescent="0.25">
      <c r="O2719" s="99"/>
    </row>
    <row r="2720" spans="15:15" x14ac:dyDescent="0.25">
      <c r="O2720" s="99"/>
    </row>
    <row r="2721" spans="15:15" x14ac:dyDescent="0.25">
      <c r="O2721" s="99"/>
    </row>
    <row r="2722" spans="15:15" x14ac:dyDescent="0.25">
      <c r="O2722" s="99"/>
    </row>
    <row r="2723" spans="15:15" x14ac:dyDescent="0.25">
      <c r="O2723" s="99"/>
    </row>
    <row r="2724" spans="15:15" x14ac:dyDescent="0.25">
      <c r="O2724" s="99"/>
    </row>
    <row r="2725" spans="15:15" x14ac:dyDescent="0.25">
      <c r="O2725" s="99"/>
    </row>
    <row r="2726" spans="15:15" x14ac:dyDescent="0.25">
      <c r="O2726" s="99"/>
    </row>
    <row r="2727" spans="15:15" x14ac:dyDescent="0.25">
      <c r="O2727" s="99"/>
    </row>
    <row r="2728" spans="15:15" x14ac:dyDescent="0.25">
      <c r="O2728" s="99"/>
    </row>
    <row r="2729" spans="15:15" x14ac:dyDescent="0.25">
      <c r="O2729" s="99"/>
    </row>
    <row r="2730" spans="15:15" x14ac:dyDescent="0.25">
      <c r="O2730" s="99"/>
    </row>
    <row r="2731" spans="15:15" x14ac:dyDescent="0.25">
      <c r="O2731" s="99"/>
    </row>
    <row r="2732" spans="15:15" x14ac:dyDescent="0.25">
      <c r="O2732" s="99"/>
    </row>
    <row r="2733" spans="15:15" x14ac:dyDescent="0.25">
      <c r="O2733" s="99"/>
    </row>
    <row r="2734" spans="15:15" x14ac:dyDescent="0.25">
      <c r="O2734" s="99"/>
    </row>
    <row r="2735" spans="15:15" x14ac:dyDescent="0.25">
      <c r="O2735" s="99"/>
    </row>
    <row r="2736" spans="15:15" x14ac:dyDescent="0.25">
      <c r="O2736" s="99"/>
    </row>
    <row r="2737" spans="15:15" x14ac:dyDescent="0.25">
      <c r="O2737" s="99"/>
    </row>
    <row r="2738" spans="15:15" x14ac:dyDescent="0.25">
      <c r="O2738" s="99"/>
    </row>
    <row r="2739" spans="15:15" x14ac:dyDescent="0.25">
      <c r="O2739" s="99"/>
    </row>
    <row r="2740" spans="15:15" x14ac:dyDescent="0.25">
      <c r="O2740" s="99"/>
    </row>
    <row r="2741" spans="15:15" x14ac:dyDescent="0.25">
      <c r="O2741" s="99"/>
    </row>
    <row r="2742" spans="15:15" x14ac:dyDescent="0.25">
      <c r="O2742" s="99"/>
    </row>
    <row r="2743" spans="15:15" x14ac:dyDescent="0.25">
      <c r="O2743" s="99"/>
    </row>
    <row r="2744" spans="15:15" x14ac:dyDescent="0.25">
      <c r="O2744" s="99"/>
    </row>
    <row r="2745" spans="15:15" x14ac:dyDescent="0.25">
      <c r="O2745" s="99"/>
    </row>
    <row r="2746" spans="15:15" x14ac:dyDescent="0.25">
      <c r="O2746" s="99"/>
    </row>
    <row r="2747" spans="15:15" x14ac:dyDescent="0.25">
      <c r="O2747" s="99"/>
    </row>
    <row r="2748" spans="15:15" x14ac:dyDescent="0.25">
      <c r="O2748" s="99"/>
    </row>
    <row r="2749" spans="15:15" x14ac:dyDescent="0.25">
      <c r="O2749" s="99"/>
    </row>
    <row r="2750" spans="15:15" x14ac:dyDescent="0.25">
      <c r="O2750" s="99"/>
    </row>
    <row r="2751" spans="15:15" x14ac:dyDescent="0.25">
      <c r="O2751" s="99"/>
    </row>
    <row r="2752" spans="15:15" x14ac:dyDescent="0.25">
      <c r="O2752" s="99"/>
    </row>
    <row r="2753" spans="15:15" x14ac:dyDescent="0.25">
      <c r="O2753" s="99"/>
    </row>
    <row r="2754" spans="15:15" x14ac:dyDescent="0.25">
      <c r="O2754" s="99"/>
    </row>
    <row r="2755" spans="15:15" x14ac:dyDescent="0.25">
      <c r="O2755" s="99"/>
    </row>
    <row r="2756" spans="15:15" x14ac:dyDescent="0.25">
      <c r="O2756" s="99"/>
    </row>
    <row r="2757" spans="15:15" x14ac:dyDescent="0.25">
      <c r="O2757" s="99"/>
    </row>
    <row r="2758" spans="15:15" x14ac:dyDescent="0.25">
      <c r="O2758" s="99"/>
    </row>
    <row r="2759" spans="15:15" x14ac:dyDescent="0.25">
      <c r="O2759" s="99"/>
    </row>
    <row r="2760" spans="15:15" x14ac:dyDescent="0.25">
      <c r="O2760" s="99"/>
    </row>
    <row r="2761" spans="15:15" x14ac:dyDescent="0.25">
      <c r="O2761" s="99"/>
    </row>
    <row r="2762" spans="15:15" x14ac:dyDescent="0.25">
      <c r="O2762" s="99"/>
    </row>
    <row r="2763" spans="15:15" x14ac:dyDescent="0.25">
      <c r="O2763" s="99"/>
    </row>
    <row r="2764" spans="15:15" x14ac:dyDescent="0.25">
      <c r="O2764" s="99"/>
    </row>
    <row r="2765" spans="15:15" x14ac:dyDescent="0.25">
      <c r="O2765" s="99"/>
    </row>
    <row r="2766" spans="15:15" x14ac:dyDescent="0.25">
      <c r="O2766" s="99"/>
    </row>
    <row r="2767" spans="15:15" x14ac:dyDescent="0.25">
      <c r="O2767" s="99"/>
    </row>
    <row r="2768" spans="15:15" x14ac:dyDescent="0.25">
      <c r="O2768" s="99"/>
    </row>
    <row r="2769" spans="15:15" x14ac:dyDescent="0.25">
      <c r="O2769" s="99"/>
    </row>
    <row r="2770" spans="15:15" x14ac:dyDescent="0.25">
      <c r="O2770" s="99"/>
    </row>
    <row r="2771" spans="15:15" x14ac:dyDescent="0.25">
      <c r="O2771" s="99"/>
    </row>
    <row r="2772" spans="15:15" x14ac:dyDescent="0.25">
      <c r="O2772" s="99"/>
    </row>
    <row r="2773" spans="15:15" x14ac:dyDescent="0.25">
      <c r="O2773" s="99"/>
    </row>
    <row r="2774" spans="15:15" x14ac:dyDescent="0.25">
      <c r="O2774" s="99"/>
    </row>
    <row r="2775" spans="15:15" x14ac:dyDescent="0.25">
      <c r="O2775" s="99"/>
    </row>
    <row r="2776" spans="15:15" x14ac:dyDescent="0.25">
      <c r="O2776" s="99"/>
    </row>
    <row r="2777" spans="15:15" x14ac:dyDescent="0.25">
      <c r="O2777" s="99"/>
    </row>
    <row r="2778" spans="15:15" x14ac:dyDescent="0.25">
      <c r="O2778" s="99"/>
    </row>
    <row r="2779" spans="15:15" x14ac:dyDescent="0.25">
      <c r="O2779" s="99"/>
    </row>
    <row r="2780" spans="15:15" x14ac:dyDescent="0.25">
      <c r="O2780" s="99"/>
    </row>
    <row r="2781" spans="15:15" x14ac:dyDescent="0.25">
      <c r="O2781" s="99"/>
    </row>
    <row r="2782" spans="15:15" x14ac:dyDescent="0.25">
      <c r="O2782" s="99"/>
    </row>
    <row r="2783" spans="15:15" x14ac:dyDescent="0.25">
      <c r="O2783" s="99"/>
    </row>
    <row r="2784" spans="15:15" x14ac:dyDescent="0.25">
      <c r="O2784" s="99"/>
    </row>
    <row r="2785" spans="15:15" x14ac:dyDescent="0.25">
      <c r="O2785" s="99"/>
    </row>
    <row r="2786" spans="15:15" x14ac:dyDescent="0.25">
      <c r="O2786" s="99"/>
    </row>
    <row r="2787" spans="15:15" x14ac:dyDescent="0.25">
      <c r="O2787" s="99"/>
    </row>
    <row r="2788" spans="15:15" x14ac:dyDescent="0.25">
      <c r="O2788" s="99"/>
    </row>
    <row r="2789" spans="15:15" x14ac:dyDescent="0.25">
      <c r="O2789" s="99"/>
    </row>
    <row r="2790" spans="15:15" x14ac:dyDescent="0.25">
      <c r="O2790" s="99"/>
    </row>
    <row r="2791" spans="15:15" x14ac:dyDescent="0.25">
      <c r="O2791" s="99"/>
    </row>
    <row r="2792" spans="15:15" x14ac:dyDescent="0.25">
      <c r="O2792" s="99"/>
    </row>
    <row r="2793" spans="15:15" x14ac:dyDescent="0.25">
      <c r="O2793" s="99"/>
    </row>
    <row r="2794" spans="15:15" x14ac:dyDescent="0.25">
      <c r="O2794" s="99"/>
    </row>
    <row r="2795" spans="15:15" x14ac:dyDescent="0.25">
      <c r="O2795" s="99"/>
    </row>
    <row r="2796" spans="15:15" x14ac:dyDescent="0.25">
      <c r="O2796" s="99"/>
    </row>
    <row r="2797" spans="15:15" x14ac:dyDescent="0.25">
      <c r="O2797" s="99"/>
    </row>
    <row r="2798" spans="15:15" x14ac:dyDescent="0.25">
      <c r="O2798" s="99"/>
    </row>
    <row r="2799" spans="15:15" x14ac:dyDescent="0.25">
      <c r="O2799" s="99"/>
    </row>
    <row r="2800" spans="15:15" x14ac:dyDescent="0.25">
      <c r="O2800" s="99"/>
    </row>
    <row r="2801" spans="15:15" x14ac:dyDescent="0.25">
      <c r="O2801" s="99"/>
    </row>
    <row r="2802" spans="15:15" x14ac:dyDescent="0.25">
      <c r="O2802" s="99"/>
    </row>
    <row r="2803" spans="15:15" x14ac:dyDescent="0.25">
      <c r="O2803" s="99"/>
    </row>
    <row r="2804" spans="15:15" x14ac:dyDescent="0.25">
      <c r="O2804" s="99"/>
    </row>
    <row r="2805" spans="15:15" x14ac:dyDescent="0.25">
      <c r="O2805" s="99"/>
    </row>
    <row r="2806" spans="15:15" x14ac:dyDescent="0.25">
      <c r="O2806" s="99"/>
    </row>
    <row r="2807" spans="15:15" x14ac:dyDescent="0.25">
      <c r="O2807" s="99"/>
    </row>
    <row r="2808" spans="15:15" x14ac:dyDescent="0.25">
      <c r="O2808" s="99"/>
    </row>
    <row r="2809" spans="15:15" x14ac:dyDescent="0.25">
      <c r="O2809" s="99"/>
    </row>
    <row r="2810" spans="15:15" x14ac:dyDescent="0.25">
      <c r="O2810" s="99"/>
    </row>
    <row r="2811" spans="15:15" x14ac:dyDescent="0.25">
      <c r="O2811" s="99"/>
    </row>
    <row r="2812" spans="15:15" x14ac:dyDescent="0.25">
      <c r="O2812" s="99"/>
    </row>
    <row r="2813" spans="15:15" x14ac:dyDescent="0.25">
      <c r="O2813" s="99"/>
    </row>
    <row r="2814" spans="15:15" x14ac:dyDescent="0.25">
      <c r="O2814" s="99"/>
    </row>
    <row r="2815" spans="15:15" x14ac:dyDescent="0.25">
      <c r="O2815" s="99"/>
    </row>
    <row r="2816" spans="15:15" x14ac:dyDescent="0.25">
      <c r="O2816" s="99"/>
    </row>
    <row r="2817" spans="15:15" x14ac:dyDescent="0.25">
      <c r="O2817" s="99"/>
    </row>
    <row r="2818" spans="15:15" x14ac:dyDescent="0.25">
      <c r="O2818" s="99"/>
    </row>
    <row r="2819" spans="15:15" x14ac:dyDescent="0.25">
      <c r="O2819" s="99"/>
    </row>
    <row r="2820" spans="15:15" x14ac:dyDescent="0.25">
      <c r="O2820" s="99"/>
    </row>
    <row r="2821" spans="15:15" x14ac:dyDescent="0.25">
      <c r="O2821" s="99"/>
    </row>
    <row r="2822" spans="15:15" x14ac:dyDescent="0.25">
      <c r="O2822" s="99"/>
    </row>
    <row r="2823" spans="15:15" x14ac:dyDescent="0.25">
      <c r="O2823" s="99"/>
    </row>
    <row r="2824" spans="15:15" x14ac:dyDescent="0.25">
      <c r="O2824" s="99"/>
    </row>
    <row r="2825" spans="15:15" x14ac:dyDescent="0.25">
      <c r="O2825" s="99"/>
    </row>
    <row r="2826" spans="15:15" x14ac:dyDescent="0.25">
      <c r="O2826" s="99"/>
    </row>
    <row r="2827" spans="15:15" x14ac:dyDescent="0.25">
      <c r="O2827" s="99"/>
    </row>
    <row r="2828" spans="15:15" x14ac:dyDescent="0.25">
      <c r="O2828" s="99"/>
    </row>
    <row r="2829" spans="15:15" x14ac:dyDescent="0.25">
      <c r="O2829" s="99"/>
    </row>
    <row r="2830" spans="15:15" x14ac:dyDescent="0.25">
      <c r="O2830" s="99"/>
    </row>
    <row r="2831" spans="15:15" x14ac:dyDescent="0.25">
      <c r="O2831" s="99"/>
    </row>
    <row r="2832" spans="15:15" x14ac:dyDescent="0.25">
      <c r="O2832" s="99"/>
    </row>
    <row r="2833" spans="15:15" x14ac:dyDescent="0.25">
      <c r="O2833" s="99"/>
    </row>
    <row r="2834" spans="15:15" x14ac:dyDescent="0.25">
      <c r="O2834" s="99"/>
    </row>
    <row r="2835" spans="15:15" x14ac:dyDescent="0.25">
      <c r="O2835" s="99"/>
    </row>
    <row r="2836" spans="15:15" x14ac:dyDescent="0.25">
      <c r="O2836" s="99"/>
    </row>
    <row r="2837" spans="15:15" x14ac:dyDescent="0.25">
      <c r="O2837" s="99"/>
    </row>
    <row r="2838" spans="15:15" x14ac:dyDescent="0.25">
      <c r="O2838" s="99"/>
    </row>
    <row r="2839" spans="15:15" x14ac:dyDescent="0.25">
      <c r="O2839" s="99"/>
    </row>
    <row r="2840" spans="15:15" x14ac:dyDescent="0.25">
      <c r="O2840" s="99"/>
    </row>
    <row r="2841" spans="15:15" x14ac:dyDescent="0.25">
      <c r="O2841" s="99"/>
    </row>
    <row r="2842" spans="15:15" x14ac:dyDescent="0.25">
      <c r="O2842" s="99"/>
    </row>
    <row r="2843" spans="15:15" x14ac:dyDescent="0.25">
      <c r="O2843" s="99"/>
    </row>
    <row r="2844" spans="15:15" x14ac:dyDescent="0.25">
      <c r="O2844" s="99"/>
    </row>
    <row r="2845" spans="15:15" x14ac:dyDescent="0.25">
      <c r="O2845" s="99"/>
    </row>
    <row r="2846" spans="15:15" x14ac:dyDescent="0.25">
      <c r="O2846" s="99"/>
    </row>
    <row r="2847" spans="15:15" x14ac:dyDescent="0.25">
      <c r="O2847" s="99"/>
    </row>
    <row r="2848" spans="15:15" x14ac:dyDescent="0.25">
      <c r="O2848" s="99"/>
    </row>
    <row r="2849" spans="15:15" x14ac:dyDescent="0.25">
      <c r="O2849" s="99"/>
    </row>
    <row r="2850" spans="15:15" x14ac:dyDescent="0.25">
      <c r="O2850" s="99"/>
    </row>
    <row r="2851" spans="15:15" x14ac:dyDescent="0.25">
      <c r="O2851" s="99"/>
    </row>
    <row r="2852" spans="15:15" x14ac:dyDescent="0.25">
      <c r="O2852" s="99"/>
    </row>
    <row r="2853" spans="15:15" x14ac:dyDescent="0.25">
      <c r="O2853" s="99"/>
    </row>
    <row r="2854" spans="15:15" x14ac:dyDescent="0.25">
      <c r="O2854" s="99"/>
    </row>
    <row r="2855" spans="15:15" x14ac:dyDescent="0.25">
      <c r="O2855" s="99"/>
    </row>
    <row r="2856" spans="15:15" x14ac:dyDescent="0.25">
      <c r="O2856" s="99"/>
    </row>
    <row r="2857" spans="15:15" x14ac:dyDescent="0.25">
      <c r="O2857" s="99"/>
    </row>
    <row r="2858" spans="15:15" x14ac:dyDescent="0.25">
      <c r="O2858" s="99"/>
    </row>
    <row r="2859" spans="15:15" x14ac:dyDescent="0.25">
      <c r="O2859" s="99"/>
    </row>
    <row r="2860" spans="15:15" x14ac:dyDescent="0.25">
      <c r="O2860" s="99"/>
    </row>
    <row r="2861" spans="15:15" x14ac:dyDescent="0.25">
      <c r="O2861" s="99"/>
    </row>
    <row r="2862" spans="15:15" x14ac:dyDescent="0.25">
      <c r="O2862" s="99"/>
    </row>
    <row r="2863" spans="15:15" x14ac:dyDescent="0.25">
      <c r="O2863" s="99"/>
    </row>
    <row r="2864" spans="15:15" x14ac:dyDescent="0.25">
      <c r="O2864" s="99"/>
    </row>
    <row r="2865" spans="15:15" x14ac:dyDescent="0.25">
      <c r="O2865" s="99"/>
    </row>
    <row r="2866" spans="15:15" x14ac:dyDescent="0.25">
      <c r="O2866" s="99"/>
    </row>
    <row r="2867" spans="15:15" x14ac:dyDescent="0.25">
      <c r="O2867" s="99"/>
    </row>
    <row r="2868" spans="15:15" x14ac:dyDescent="0.25">
      <c r="O2868" s="99"/>
    </row>
    <row r="2869" spans="15:15" x14ac:dyDescent="0.25">
      <c r="O2869" s="99"/>
    </row>
    <row r="2870" spans="15:15" x14ac:dyDescent="0.25">
      <c r="O2870" s="99"/>
    </row>
    <row r="2871" spans="15:15" x14ac:dyDescent="0.25">
      <c r="O2871" s="99"/>
    </row>
    <row r="2872" spans="15:15" x14ac:dyDescent="0.25">
      <c r="O2872" s="99"/>
    </row>
    <row r="2873" spans="15:15" x14ac:dyDescent="0.25">
      <c r="O2873" s="99"/>
    </row>
    <row r="2874" spans="15:15" x14ac:dyDescent="0.25">
      <c r="O2874" s="99"/>
    </row>
    <row r="2875" spans="15:15" x14ac:dyDescent="0.25">
      <c r="O2875" s="99"/>
    </row>
    <row r="2876" spans="15:15" x14ac:dyDescent="0.25">
      <c r="O2876" s="99"/>
    </row>
  </sheetData>
  <mergeCells count="2">
    <mergeCell ref="K7:L7"/>
    <mergeCell ref="B7:J7"/>
  </mergeCells>
  <printOptions horizontalCentered="1" verticalCentered="1"/>
  <pageMargins left="0.19685039370078741" right="0.19685039370078741" top="0.39370078740157483" bottom="0.39370078740157483" header="0.31496062992125984" footer="0.19685039370078741"/>
  <pageSetup paperSize="9" scale="89" orientation="landscape" r:id="rId2"/>
  <headerFooter>
    <oddFooter>&amp;R&amp;"Arial,Normal"&amp;P/&amp;N</oddFoot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B63B1-5812-4932-B937-A860D1FE028E}">
  <sheetPr codeName="Feuil37"/>
  <dimension ref="A1:K468"/>
  <sheetViews>
    <sheetView zoomScale="85" zoomScaleNormal="85" workbookViewId="0">
      <pane xSplit="1" ySplit="7" topLeftCell="B8" activePane="bottomRight" state="frozen"/>
      <selection pane="topRight" activeCell="B1" sqref="B1"/>
      <selection pane="bottomLeft" activeCell="A4" sqref="A4"/>
      <selection pane="bottomRight" activeCell="E31" sqref="E31"/>
    </sheetView>
  </sheetViews>
  <sheetFormatPr baseColWidth="10" defaultColWidth="10.88671875" defaultRowHeight="13.2" x14ac:dyDescent="0.25"/>
  <cols>
    <col min="1" max="1" width="16.44140625" style="1" bestFit="1" customWidth="1"/>
    <col min="2" max="11" width="11.109375" style="1" customWidth="1"/>
    <col min="12" max="13" width="8.6640625" style="1" bestFit="1" customWidth="1"/>
    <col min="14" max="14" width="16.6640625" style="1" bestFit="1" customWidth="1"/>
    <col min="15" max="15" width="6.44140625" style="1" bestFit="1" customWidth="1"/>
    <col min="16" max="16" width="5.33203125" style="1" bestFit="1" customWidth="1"/>
    <col min="17" max="21" width="7.5546875" style="1" bestFit="1" customWidth="1"/>
    <col min="22" max="22" width="5.33203125" style="1" bestFit="1" customWidth="1"/>
    <col min="23" max="23" width="8.6640625" style="1" bestFit="1" customWidth="1"/>
    <col min="24" max="25" width="7.5546875" style="1" bestFit="1" customWidth="1"/>
    <col min="26" max="26" width="18.33203125" style="1" bestFit="1" customWidth="1"/>
    <col min="27" max="37" width="7.5546875" style="1" bestFit="1" customWidth="1"/>
    <col min="38" max="38" width="16" style="1" bestFit="1" customWidth="1"/>
    <col min="39" max="40" width="6.44140625" style="1" bestFit="1" customWidth="1"/>
    <col min="41" max="44" width="7.5546875" style="1" bestFit="1" customWidth="1"/>
    <col min="45" max="45" width="4.77734375" style="1" bestFit="1" customWidth="1"/>
    <col min="46" max="46" width="7.5546875" style="1" bestFit="1" customWidth="1"/>
    <col min="47" max="47" width="6.44140625" style="1" bestFit="1" customWidth="1"/>
    <col min="48" max="48" width="4.21875" style="1" bestFit="1" customWidth="1"/>
    <col min="49" max="49" width="7.5546875" style="1" bestFit="1" customWidth="1"/>
    <col min="50" max="50" width="21.77734375" style="1" bestFit="1" customWidth="1"/>
    <col min="51" max="60" width="7.5546875" style="1" bestFit="1" customWidth="1"/>
    <col min="61" max="61" width="4.21875" style="1" bestFit="1" customWidth="1"/>
    <col min="62" max="62" width="20.6640625" style="1" bestFit="1" customWidth="1"/>
    <col min="63" max="63" width="4.21875" style="1" bestFit="1" customWidth="1"/>
    <col min="64" max="64" width="5.21875" style="1" bestFit="1" customWidth="1"/>
    <col min="65" max="65" width="3.77734375" style="1" bestFit="1" customWidth="1"/>
    <col min="66" max="67" width="4.21875" style="1" bestFit="1" customWidth="1"/>
    <col min="68" max="69" width="5.33203125" style="1" bestFit="1" customWidth="1"/>
    <col min="70" max="70" width="4.77734375" style="1" bestFit="1" customWidth="1"/>
    <col min="71" max="72" width="4.21875" style="1" bestFit="1" customWidth="1"/>
    <col min="73" max="73" width="5.33203125" style="1" bestFit="1" customWidth="1"/>
    <col min="74" max="74" width="20.21875" style="1" bestFit="1" customWidth="1"/>
    <col min="75" max="75" width="7.5546875" style="1" bestFit="1" customWidth="1"/>
    <col min="76" max="76" width="8.6640625" style="1" bestFit="1" customWidth="1"/>
    <col min="77" max="79" width="7.5546875" style="1" bestFit="1" customWidth="1"/>
    <col min="80" max="81" width="8.6640625" style="1" bestFit="1" customWidth="1"/>
    <col min="82" max="82" width="7.5546875" style="1" bestFit="1" customWidth="1"/>
    <col min="83" max="83" width="8.6640625" style="1" bestFit="1" customWidth="1"/>
    <col min="84" max="85" width="7.5546875" style="1" bestFit="1" customWidth="1"/>
    <col min="86" max="86" width="25.88671875" style="1" bestFit="1" customWidth="1"/>
    <col min="87" max="87" width="4.21875" style="1" bestFit="1" customWidth="1"/>
    <col min="88" max="88" width="5.21875" style="1" bestFit="1" customWidth="1"/>
    <col min="89" max="89" width="3.77734375" style="1" bestFit="1" customWidth="1"/>
    <col min="90" max="90" width="4.109375" style="1" bestFit="1" customWidth="1"/>
    <col min="91" max="91" width="6.44140625" style="1" bestFit="1" customWidth="1"/>
    <col min="92" max="92" width="7.5546875" style="1" bestFit="1" customWidth="1"/>
    <col min="93" max="93" width="6.44140625" style="1" bestFit="1" customWidth="1"/>
    <col min="94" max="94" width="4.77734375" style="1" bestFit="1" customWidth="1"/>
    <col min="95" max="95" width="5.33203125" style="1" bestFit="1" customWidth="1"/>
    <col min="96" max="96" width="4.21875" style="1" bestFit="1" customWidth="1"/>
    <col min="97" max="97" width="4.109375" style="1" bestFit="1" customWidth="1"/>
    <col min="98" max="98" width="17.109375" style="1" bestFit="1" customWidth="1"/>
    <col min="99" max="99" width="4.21875" style="1" bestFit="1" customWidth="1"/>
    <col min="100" max="100" width="5.21875" style="1" bestFit="1" customWidth="1"/>
    <col min="101" max="101" width="5.77734375" style="1" bestFit="1" customWidth="1"/>
    <col min="102" max="103" width="6.44140625" style="1" bestFit="1" customWidth="1"/>
    <col min="104" max="104" width="7.5546875" style="1" bestFit="1" customWidth="1"/>
    <col min="105" max="105" width="6.44140625" style="1" bestFit="1" customWidth="1"/>
    <col min="106" max="109" width="7.5546875" style="1" bestFit="1" customWidth="1"/>
    <col min="110" max="110" width="33.109375" style="1" bestFit="1" customWidth="1"/>
    <col min="111" max="111" width="4.21875" style="1" bestFit="1" customWidth="1"/>
    <col min="112" max="112" width="5.21875" style="1" bestFit="1" customWidth="1"/>
    <col min="113" max="116" width="4.21875" style="1" bestFit="1" customWidth="1"/>
    <col min="117" max="118" width="4.77734375" style="1" bestFit="1" customWidth="1"/>
    <col min="119" max="121" width="4.21875" style="1" bestFit="1" customWidth="1"/>
    <col min="122" max="122" width="23.6640625" style="1" bestFit="1" customWidth="1"/>
    <col min="123" max="123" width="21.77734375" style="1" bestFit="1" customWidth="1"/>
    <col min="124" max="124" width="23.44140625" style="1" bestFit="1" customWidth="1"/>
    <col min="125" max="125" width="21.109375" style="1" bestFit="1" customWidth="1"/>
    <col min="126" max="126" width="26.88671875" style="1" bestFit="1" customWidth="1"/>
    <col min="127" max="127" width="25.77734375" style="1" bestFit="1" customWidth="1"/>
    <col min="128" max="128" width="25.33203125" style="1" bestFit="1" customWidth="1"/>
    <col min="129" max="129" width="31" style="1" bestFit="1" customWidth="1"/>
    <col min="130" max="130" width="22.21875" style="1" bestFit="1" customWidth="1"/>
    <col min="131" max="131" width="38.21875" style="1" bestFit="1" customWidth="1"/>
    <col min="132" max="16384" width="10.88671875" style="1"/>
  </cols>
  <sheetData>
    <row r="1" spans="1:11" ht="24.6" x14ac:dyDescent="0.25">
      <c r="A1" s="105" t="s">
        <v>3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</row>
    <row r="2" spans="1:11" ht="33" x14ac:dyDescent="0.25">
      <c r="A2" s="106" t="s">
        <v>121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</row>
    <row r="3" spans="1:11" x14ac:dyDescent="0.25">
      <c r="A3" s="3"/>
    </row>
    <row r="4" spans="1:11" ht="21" x14ac:dyDescent="0.4">
      <c r="A4" s="96" t="s">
        <v>114</v>
      </c>
      <c r="B4" s="97"/>
      <c r="C4" s="97"/>
      <c r="D4" s="97"/>
      <c r="E4" s="97"/>
      <c r="F4" s="97"/>
      <c r="G4" s="97"/>
      <c r="H4" s="97"/>
      <c r="I4" s="97"/>
      <c r="J4" s="97"/>
      <c r="K4" s="97"/>
    </row>
    <row r="5" spans="1:11" ht="13.8" thickBot="1" x14ac:dyDescent="0.3">
      <c r="A5" s="3"/>
    </row>
    <row r="6" spans="1:11" ht="40.5" customHeight="1" thickTop="1" thickBot="1" x14ac:dyDescent="0.3">
      <c r="B6" s="109" t="s">
        <v>75</v>
      </c>
      <c r="C6" s="110"/>
      <c r="D6" s="110"/>
      <c r="E6" s="110"/>
      <c r="F6" s="110"/>
      <c r="G6" s="110"/>
      <c r="H6" s="110"/>
      <c r="I6" s="110"/>
      <c r="J6" s="110"/>
      <c r="K6" s="110"/>
    </row>
    <row r="7" spans="1:11" ht="40.799999999999997" thickTop="1" thickBot="1" x14ac:dyDescent="0.3">
      <c r="A7" s="108" t="s">
        <v>33</v>
      </c>
      <c r="B7" s="111" t="s">
        <v>67</v>
      </c>
      <c r="C7" s="112" t="s">
        <v>71</v>
      </c>
      <c r="D7" s="112" t="s">
        <v>68</v>
      </c>
      <c r="E7" s="112" t="s">
        <v>69</v>
      </c>
      <c r="F7" s="112" t="s">
        <v>70</v>
      </c>
      <c r="G7" s="112" t="s">
        <v>72</v>
      </c>
      <c r="H7" s="112" t="s">
        <v>118</v>
      </c>
      <c r="I7" s="112" t="s">
        <v>116</v>
      </c>
      <c r="J7" s="112" t="s">
        <v>117</v>
      </c>
      <c r="K7" s="113" t="s">
        <v>119</v>
      </c>
    </row>
    <row r="8" spans="1:11" ht="14.4" thickTop="1" thickBot="1" x14ac:dyDescent="0.3">
      <c r="A8" s="116" t="s">
        <v>66</v>
      </c>
      <c r="B8" s="117"/>
      <c r="C8" s="114"/>
      <c r="D8" s="114"/>
      <c r="E8" s="114"/>
      <c r="F8" s="114"/>
      <c r="G8" s="114"/>
      <c r="H8" s="114"/>
      <c r="I8" s="114"/>
      <c r="J8" s="114"/>
      <c r="K8" s="115">
        <v>0</v>
      </c>
    </row>
    <row r="9" spans="1:11" ht="13.8" thickTop="1" x14ac:dyDescent="0.25">
      <c r="A9"/>
      <c r="B9"/>
      <c r="C9"/>
      <c r="D9"/>
      <c r="E9"/>
      <c r="F9"/>
      <c r="G9"/>
      <c r="H9"/>
      <c r="I9"/>
      <c r="J9"/>
      <c r="K9"/>
    </row>
    <row r="10" spans="1:11" ht="13.8" thickBot="1" x14ac:dyDescent="0.3">
      <c r="A10"/>
      <c r="B10"/>
      <c r="C10"/>
      <c r="D10"/>
      <c r="E10"/>
      <c r="F10"/>
      <c r="G10"/>
      <c r="H10"/>
      <c r="I10"/>
      <c r="J10"/>
      <c r="K10"/>
    </row>
    <row r="11" spans="1:11" ht="14.4" thickTop="1" thickBot="1" x14ac:dyDescent="0.3">
      <c r="A11"/>
      <c r="B11"/>
      <c r="C11"/>
      <c r="D11"/>
      <c r="E11"/>
      <c r="F11"/>
      <c r="G11"/>
      <c r="H11"/>
      <c r="I11"/>
      <c r="J11"/>
      <c r="K11"/>
    </row>
    <row r="12" spans="1:11" ht="13.8" thickBot="1" x14ac:dyDescent="0.3">
      <c r="A12"/>
      <c r="B12"/>
      <c r="C12"/>
      <c r="D12"/>
      <c r="E12"/>
      <c r="F12"/>
      <c r="G12"/>
      <c r="H12"/>
      <c r="I12"/>
      <c r="J12"/>
      <c r="K12"/>
    </row>
    <row r="13" spans="1:11" ht="14.4" thickTop="1" thickBot="1" x14ac:dyDescent="0.3">
      <c r="A13"/>
      <c r="B13"/>
      <c r="C13"/>
      <c r="D13"/>
      <c r="E13"/>
      <c r="F13"/>
      <c r="G13"/>
      <c r="H13"/>
      <c r="I13"/>
      <c r="J13"/>
      <c r="K13"/>
    </row>
    <row r="14" spans="1:11" ht="13.8" thickTop="1" x14ac:dyDescent="0.25">
      <c r="A14"/>
      <c r="B14"/>
      <c r="C14"/>
      <c r="D14"/>
      <c r="E14"/>
      <c r="F14"/>
      <c r="G14"/>
      <c r="H14"/>
      <c r="I14"/>
      <c r="J14"/>
      <c r="K14"/>
    </row>
    <row r="15" spans="1:11" ht="13.8" thickBot="1" x14ac:dyDescent="0.3">
      <c r="A15"/>
      <c r="B15"/>
      <c r="C15"/>
      <c r="D15"/>
      <c r="E15"/>
      <c r="F15"/>
      <c r="G15"/>
      <c r="H15"/>
      <c r="I15"/>
      <c r="J15"/>
      <c r="K15"/>
    </row>
    <row r="16" spans="1:11" ht="14.4" thickTop="1" thickBot="1" x14ac:dyDescent="0.3">
      <c r="A16"/>
      <c r="B16"/>
      <c r="C16"/>
      <c r="D16"/>
      <c r="E16"/>
      <c r="F16"/>
      <c r="G16"/>
      <c r="H16"/>
      <c r="I16"/>
      <c r="J16"/>
      <c r="K16"/>
    </row>
    <row r="17" spans="1:11" ht="13.8" thickBot="1" x14ac:dyDescent="0.3">
      <c r="A17"/>
      <c r="B17"/>
      <c r="C17"/>
      <c r="D17"/>
      <c r="E17"/>
      <c r="F17"/>
      <c r="G17"/>
      <c r="H17"/>
      <c r="I17"/>
      <c r="J17"/>
      <c r="K17"/>
    </row>
    <row r="18" spans="1:11" ht="14.4" thickTop="1" thickBot="1" x14ac:dyDescent="0.3">
      <c r="A18"/>
      <c r="B18"/>
      <c r="C18"/>
      <c r="D18"/>
      <c r="E18"/>
      <c r="F18"/>
      <c r="G18"/>
      <c r="H18"/>
      <c r="I18"/>
      <c r="J18"/>
      <c r="K18"/>
    </row>
    <row r="19" spans="1:11" ht="13.8" thickTop="1" x14ac:dyDescent="0.25">
      <c r="A19"/>
      <c r="B19"/>
      <c r="C19"/>
      <c r="D19"/>
      <c r="E19"/>
      <c r="F19"/>
      <c r="G19"/>
      <c r="H19"/>
      <c r="I19"/>
      <c r="J19"/>
      <c r="K19"/>
    </row>
    <row r="20" spans="1:11" ht="13.8" thickBot="1" x14ac:dyDescent="0.3">
      <c r="A20"/>
      <c r="B20"/>
      <c r="C20"/>
      <c r="D20"/>
      <c r="E20"/>
      <c r="F20"/>
      <c r="G20"/>
      <c r="H20"/>
      <c r="I20"/>
      <c r="J20"/>
      <c r="K20"/>
    </row>
    <row r="21" spans="1:11" ht="13.8" thickTop="1" x14ac:dyDescent="0.25">
      <c r="A21"/>
      <c r="B21"/>
      <c r="C21"/>
      <c r="D21"/>
      <c r="E21"/>
      <c r="F21"/>
      <c r="G21"/>
      <c r="H21"/>
      <c r="I21"/>
      <c r="J21"/>
      <c r="K21"/>
    </row>
    <row r="22" spans="1:11" ht="13.8" thickBot="1" x14ac:dyDescent="0.3">
      <c r="A22"/>
      <c r="B22"/>
      <c r="C22"/>
      <c r="D22"/>
      <c r="E22"/>
      <c r="F22"/>
      <c r="G22"/>
      <c r="H22"/>
      <c r="I22"/>
      <c r="J22"/>
      <c r="K22"/>
    </row>
    <row r="23" spans="1:11" ht="13.8" thickTop="1" x14ac:dyDescent="0.25">
      <c r="A23"/>
      <c r="B23"/>
      <c r="C23"/>
      <c r="D23"/>
      <c r="E23"/>
      <c r="F23"/>
      <c r="G23"/>
      <c r="H23"/>
      <c r="I23"/>
      <c r="J23"/>
      <c r="K23"/>
    </row>
    <row r="24" spans="1:11" x14ac:dyDescent="0.25">
      <c r="A24"/>
      <c r="B24"/>
      <c r="C24"/>
      <c r="D24"/>
      <c r="E24"/>
      <c r="F24"/>
      <c r="G24"/>
      <c r="H24"/>
      <c r="I24"/>
      <c r="J24"/>
      <c r="K24"/>
    </row>
    <row r="25" spans="1:11" ht="13.8" thickBot="1" x14ac:dyDescent="0.3">
      <c r="A25"/>
      <c r="B25"/>
      <c r="C25"/>
      <c r="D25"/>
      <c r="E25"/>
      <c r="F25"/>
      <c r="G25"/>
      <c r="H25"/>
      <c r="I25"/>
      <c r="J25"/>
      <c r="K25"/>
    </row>
    <row r="26" spans="1:11" ht="13.8" thickBot="1" x14ac:dyDescent="0.3">
      <c r="A26"/>
      <c r="B26"/>
      <c r="C26"/>
      <c r="D26"/>
      <c r="E26"/>
      <c r="F26"/>
      <c r="G26"/>
      <c r="H26"/>
      <c r="I26"/>
      <c r="J26"/>
      <c r="K26"/>
    </row>
    <row r="27" spans="1:11" ht="14.4" thickTop="1" thickBot="1" x14ac:dyDescent="0.3">
      <c r="A27"/>
      <c r="B27"/>
      <c r="C27"/>
      <c r="D27"/>
      <c r="E27"/>
      <c r="F27"/>
      <c r="G27"/>
      <c r="H27"/>
      <c r="I27"/>
      <c r="J27"/>
      <c r="K27"/>
    </row>
    <row r="28" spans="1:11" ht="13.8" thickTop="1" x14ac:dyDescent="0.25">
      <c r="A28"/>
      <c r="B28"/>
      <c r="C28"/>
      <c r="D28"/>
      <c r="E28"/>
      <c r="F28"/>
      <c r="G28"/>
      <c r="H28"/>
      <c r="I28"/>
      <c r="J28"/>
      <c r="K28"/>
    </row>
    <row r="29" spans="1:11" x14ac:dyDescent="0.25">
      <c r="A29"/>
      <c r="B29"/>
      <c r="C29"/>
      <c r="D29"/>
      <c r="E29"/>
      <c r="F29"/>
      <c r="G29"/>
      <c r="H29"/>
      <c r="I29"/>
      <c r="J29"/>
      <c r="K29"/>
    </row>
    <row r="30" spans="1:11" ht="13.8" thickBot="1" x14ac:dyDescent="0.3">
      <c r="A30"/>
      <c r="B30"/>
      <c r="C30"/>
      <c r="D30"/>
      <c r="E30"/>
      <c r="F30"/>
      <c r="G30"/>
      <c r="H30"/>
      <c r="I30"/>
      <c r="J30"/>
      <c r="K30"/>
    </row>
    <row r="31" spans="1:11" x14ac:dyDescent="0.25">
      <c r="A31"/>
      <c r="B31"/>
      <c r="C31"/>
      <c r="D31"/>
      <c r="E31"/>
      <c r="F31"/>
      <c r="G31"/>
      <c r="H31"/>
      <c r="I31"/>
      <c r="J31"/>
      <c r="K31"/>
    </row>
    <row r="32" spans="1:11" x14ac:dyDescent="0.25">
      <c r="A32"/>
      <c r="B32"/>
      <c r="C32"/>
      <c r="D32"/>
      <c r="E32"/>
      <c r="F32"/>
      <c r="G32"/>
      <c r="H32"/>
      <c r="I32"/>
      <c r="J32"/>
      <c r="K32"/>
    </row>
    <row r="33" spans="1:11" ht="13.8" thickBot="1" x14ac:dyDescent="0.3">
      <c r="A33"/>
      <c r="B33"/>
      <c r="C33"/>
      <c r="D33"/>
      <c r="E33"/>
      <c r="F33"/>
      <c r="G33"/>
      <c r="H33"/>
      <c r="I33"/>
      <c r="J33"/>
      <c r="K33"/>
    </row>
    <row r="34" spans="1:11" ht="13.8" thickTop="1" x14ac:dyDescent="0.25">
      <c r="A34"/>
      <c r="B34"/>
      <c r="C34"/>
      <c r="D34"/>
      <c r="E34"/>
      <c r="F34"/>
      <c r="G34"/>
      <c r="H34"/>
      <c r="I34"/>
      <c r="J34"/>
      <c r="K34"/>
    </row>
    <row r="35" spans="1:11" x14ac:dyDescent="0.25">
      <c r="A35"/>
      <c r="B35"/>
      <c r="C35"/>
      <c r="D35"/>
      <c r="E35"/>
      <c r="F35"/>
      <c r="G35"/>
      <c r="H35"/>
      <c r="I35"/>
      <c r="J35"/>
      <c r="K35"/>
    </row>
    <row r="36" spans="1:11" x14ac:dyDescent="0.25">
      <c r="A36"/>
      <c r="B36"/>
      <c r="C36"/>
      <c r="D36"/>
      <c r="E36"/>
      <c r="F36"/>
      <c r="G36"/>
      <c r="H36"/>
      <c r="I36"/>
      <c r="J36"/>
      <c r="K36"/>
    </row>
    <row r="37" spans="1:11" ht="13.8" thickBot="1" x14ac:dyDescent="0.3">
      <c r="A37"/>
      <c r="B37"/>
      <c r="C37"/>
      <c r="D37"/>
      <c r="E37"/>
      <c r="F37"/>
      <c r="G37"/>
      <c r="H37"/>
      <c r="I37"/>
      <c r="J37"/>
      <c r="K37"/>
    </row>
    <row r="38" spans="1:11" ht="14.4" thickTop="1" thickBot="1" x14ac:dyDescent="0.3">
      <c r="A38"/>
      <c r="B38"/>
      <c r="C38"/>
      <c r="D38"/>
      <c r="E38"/>
      <c r="F38"/>
      <c r="G38"/>
      <c r="H38"/>
      <c r="I38"/>
      <c r="J38"/>
      <c r="K38"/>
    </row>
    <row r="39" spans="1:11" ht="13.8" thickBot="1" x14ac:dyDescent="0.3">
      <c r="A39"/>
      <c r="B39"/>
      <c r="C39"/>
      <c r="D39"/>
      <c r="E39"/>
      <c r="F39"/>
      <c r="G39"/>
      <c r="H39"/>
      <c r="I39"/>
      <c r="J39"/>
      <c r="K39"/>
    </row>
    <row r="40" spans="1:11" ht="14.4" thickTop="1" thickBot="1" x14ac:dyDescent="0.3">
      <c r="A40"/>
      <c r="B40"/>
      <c r="C40"/>
      <c r="D40"/>
      <c r="E40"/>
      <c r="F40"/>
      <c r="G40"/>
      <c r="H40"/>
      <c r="I40"/>
      <c r="J40"/>
      <c r="K40"/>
    </row>
    <row r="41" spans="1:11" ht="13.8" thickBot="1" x14ac:dyDescent="0.3">
      <c r="A41"/>
      <c r="B41"/>
      <c r="C41"/>
      <c r="D41"/>
      <c r="E41"/>
      <c r="F41"/>
      <c r="G41"/>
      <c r="H41"/>
      <c r="I41"/>
      <c r="J41"/>
      <c r="K41"/>
    </row>
    <row r="42" spans="1:11" ht="13.8" thickBot="1" x14ac:dyDescent="0.3">
      <c r="A42"/>
      <c r="B42"/>
      <c r="C42"/>
      <c r="D42"/>
      <c r="E42"/>
      <c r="F42"/>
      <c r="G42"/>
      <c r="H42"/>
      <c r="I42"/>
      <c r="J42"/>
      <c r="K42"/>
    </row>
    <row r="43" spans="1:11" ht="14.4" thickTop="1" thickBot="1" x14ac:dyDescent="0.3">
      <c r="A43"/>
      <c r="B43"/>
      <c r="C43"/>
      <c r="D43"/>
      <c r="E43"/>
      <c r="F43"/>
      <c r="G43"/>
      <c r="H43"/>
      <c r="I43"/>
      <c r="J43"/>
      <c r="K43"/>
    </row>
    <row r="44" spans="1:11" ht="13.8" thickTop="1" x14ac:dyDescent="0.25">
      <c r="A44"/>
      <c r="B44"/>
      <c r="C44"/>
      <c r="D44"/>
      <c r="E44"/>
      <c r="F44"/>
      <c r="G44"/>
      <c r="H44"/>
      <c r="I44"/>
      <c r="J44"/>
      <c r="K44"/>
    </row>
    <row r="45" spans="1:11" ht="13.8" thickBot="1" x14ac:dyDescent="0.3">
      <c r="A45"/>
      <c r="B45"/>
      <c r="C45"/>
      <c r="D45"/>
      <c r="E45"/>
      <c r="F45"/>
      <c r="G45"/>
      <c r="H45"/>
      <c r="I45"/>
      <c r="J45"/>
      <c r="K45"/>
    </row>
    <row r="46" spans="1:11" ht="13.8" thickBot="1" x14ac:dyDescent="0.3">
      <c r="A46"/>
      <c r="B46"/>
      <c r="C46"/>
      <c r="D46"/>
      <c r="E46"/>
      <c r="F46"/>
      <c r="G46"/>
      <c r="H46"/>
      <c r="I46"/>
      <c r="J46"/>
      <c r="K46"/>
    </row>
    <row r="47" spans="1:11" ht="14.4" thickTop="1" thickBot="1" x14ac:dyDescent="0.3">
      <c r="A47"/>
      <c r="B47"/>
      <c r="C47"/>
      <c r="D47"/>
      <c r="E47"/>
      <c r="F47"/>
      <c r="G47"/>
      <c r="H47"/>
      <c r="I47"/>
      <c r="J47"/>
      <c r="K47"/>
    </row>
    <row r="48" spans="1:11" ht="13.8" thickTop="1" x14ac:dyDescent="0.25">
      <c r="A48"/>
      <c r="B48"/>
      <c r="C48"/>
      <c r="D48"/>
      <c r="E48"/>
      <c r="F48"/>
      <c r="G48"/>
      <c r="H48"/>
      <c r="I48"/>
      <c r="J48"/>
      <c r="K48"/>
    </row>
    <row r="49" spans="1:11" ht="13.8" thickBot="1" x14ac:dyDescent="0.3">
      <c r="A49"/>
      <c r="B49"/>
      <c r="C49"/>
      <c r="D49"/>
      <c r="E49"/>
      <c r="F49"/>
      <c r="G49"/>
      <c r="H49"/>
      <c r="I49"/>
      <c r="J49"/>
      <c r="K49"/>
    </row>
    <row r="50" spans="1:11" ht="14.4" thickTop="1" thickBot="1" x14ac:dyDescent="0.3">
      <c r="A50"/>
      <c r="B50"/>
      <c r="C50"/>
      <c r="D50"/>
      <c r="E50"/>
      <c r="F50"/>
      <c r="G50"/>
      <c r="H50"/>
      <c r="I50"/>
      <c r="J50"/>
      <c r="K50"/>
    </row>
    <row r="51" spans="1:11" ht="13.8" thickTop="1" x14ac:dyDescent="0.25">
      <c r="A51"/>
      <c r="B51"/>
      <c r="C51"/>
      <c r="D51"/>
      <c r="E51"/>
      <c r="F51"/>
      <c r="G51"/>
      <c r="H51"/>
      <c r="I51"/>
      <c r="J51"/>
      <c r="K51"/>
    </row>
    <row r="52" spans="1:11" ht="13.8" thickBot="1" x14ac:dyDescent="0.3">
      <c r="A52"/>
      <c r="B52"/>
      <c r="C52"/>
      <c r="D52"/>
      <c r="E52"/>
      <c r="F52"/>
      <c r="G52"/>
      <c r="H52"/>
      <c r="I52"/>
      <c r="J52"/>
      <c r="K52"/>
    </row>
    <row r="53" spans="1:11" ht="13.8" thickTop="1" x14ac:dyDescent="0.25">
      <c r="A53"/>
      <c r="B53"/>
      <c r="C53"/>
      <c r="D53"/>
      <c r="E53"/>
      <c r="F53"/>
      <c r="G53"/>
      <c r="H53"/>
      <c r="I53"/>
      <c r="J53"/>
      <c r="K53"/>
    </row>
    <row r="54" spans="1:11" x14ac:dyDescent="0.25">
      <c r="A54"/>
      <c r="B54"/>
      <c r="C54"/>
      <c r="D54"/>
      <c r="E54"/>
      <c r="F54"/>
      <c r="G54"/>
      <c r="H54"/>
      <c r="I54"/>
      <c r="J54"/>
      <c r="K54"/>
    </row>
    <row r="55" spans="1:11" ht="13.8" thickBot="1" x14ac:dyDescent="0.3">
      <c r="A55"/>
      <c r="B55"/>
      <c r="C55"/>
      <c r="D55"/>
      <c r="E55"/>
      <c r="F55"/>
      <c r="G55"/>
      <c r="H55"/>
      <c r="I55"/>
      <c r="J55"/>
      <c r="K55"/>
    </row>
    <row r="56" spans="1:11" ht="13.8" thickTop="1" x14ac:dyDescent="0.25">
      <c r="A56"/>
      <c r="B56"/>
      <c r="C56"/>
      <c r="D56"/>
      <c r="E56"/>
      <c r="F56"/>
      <c r="G56"/>
      <c r="H56"/>
      <c r="I56"/>
      <c r="J56"/>
      <c r="K56"/>
    </row>
    <row r="57" spans="1:11" x14ac:dyDescent="0.25">
      <c r="A57"/>
      <c r="B57"/>
      <c r="C57"/>
      <c r="D57"/>
      <c r="E57"/>
      <c r="F57"/>
      <c r="G57"/>
      <c r="H57"/>
      <c r="I57"/>
      <c r="J57"/>
      <c r="K57"/>
    </row>
    <row r="58" spans="1:11" ht="13.8" thickBot="1" x14ac:dyDescent="0.3">
      <c r="A58"/>
      <c r="B58"/>
      <c r="C58"/>
      <c r="D58"/>
      <c r="E58"/>
      <c r="F58"/>
      <c r="G58"/>
      <c r="H58"/>
      <c r="I58"/>
      <c r="J58"/>
      <c r="K58"/>
    </row>
    <row r="59" spans="1:11" ht="13.8" thickTop="1" x14ac:dyDescent="0.25">
      <c r="A59"/>
      <c r="B59"/>
      <c r="C59"/>
      <c r="D59"/>
      <c r="E59"/>
      <c r="F59"/>
      <c r="G59"/>
      <c r="H59"/>
      <c r="I59"/>
      <c r="J59"/>
      <c r="K59"/>
    </row>
    <row r="60" spans="1:11" ht="13.8" thickBot="1" x14ac:dyDescent="0.3">
      <c r="A60"/>
      <c r="B60"/>
      <c r="C60"/>
      <c r="D60"/>
      <c r="E60"/>
      <c r="F60"/>
      <c r="G60"/>
      <c r="H60"/>
      <c r="I60"/>
      <c r="J60"/>
      <c r="K60"/>
    </row>
    <row r="61" spans="1:11" ht="13.8" thickTop="1" x14ac:dyDescent="0.25">
      <c r="A61"/>
      <c r="B61"/>
      <c r="C61"/>
      <c r="D61"/>
      <c r="E61"/>
      <c r="F61"/>
      <c r="G61"/>
      <c r="H61"/>
      <c r="I61"/>
      <c r="J61"/>
      <c r="K61"/>
    </row>
    <row r="62" spans="1:11" ht="13.8" thickTop="1" x14ac:dyDescent="0.25">
      <c r="A62"/>
      <c r="B62"/>
      <c r="C62"/>
      <c r="D62"/>
      <c r="E62"/>
      <c r="F62"/>
      <c r="G62"/>
      <c r="H62"/>
      <c r="I62"/>
      <c r="J62"/>
      <c r="K62"/>
    </row>
    <row r="63" spans="1:11" x14ac:dyDescent="0.25">
      <c r="A63"/>
      <c r="B63"/>
      <c r="C63"/>
      <c r="D63"/>
      <c r="E63"/>
      <c r="F63"/>
      <c r="G63"/>
      <c r="H63"/>
      <c r="I63"/>
      <c r="J63"/>
      <c r="K63"/>
    </row>
    <row r="64" spans="1:11" x14ac:dyDescent="0.25">
      <c r="A64"/>
      <c r="B64"/>
      <c r="C64"/>
      <c r="D64"/>
      <c r="E64"/>
      <c r="F64"/>
      <c r="G64"/>
      <c r="H64"/>
      <c r="I64"/>
      <c r="J64"/>
      <c r="K64"/>
    </row>
    <row r="65" spans="1:11" x14ac:dyDescent="0.25">
      <c r="A65"/>
      <c r="B65"/>
      <c r="C65"/>
      <c r="D65"/>
      <c r="E65"/>
      <c r="F65"/>
      <c r="G65"/>
      <c r="H65"/>
      <c r="I65"/>
      <c r="J65"/>
      <c r="K65"/>
    </row>
    <row r="66" spans="1:11" ht="13.8" thickBot="1" x14ac:dyDescent="0.3">
      <c r="A66"/>
      <c r="B66"/>
      <c r="C66"/>
      <c r="D66"/>
      <c r="E66"/>
      <c r="F66"/>
      <c r="G66"/>
      <c r="H66"/>
      <c r="I66"/>
      <c r="J66"/>
      <c r="K66"/>
    </row>
    <row r="67" spans="1:11" ht="13.8" thickTop="1" x14ac:dyDescent="0.25">
      <c r="A67"/>
      <c r="B67"/>
      <c r="C67"/>
      <c r="D67"/>
      <c r="E67"/>
      <c r="F67"/>
      <c r="G67"/>
      <c r="H67"/>
      <c r="I67"/>
      <c r="J67"/>
      <c r="K67"/>
    </row>
    <row r="68" spans="1:11" x14ac:dyDescent="0.25">
      <c r="A68"/>
      <c r="B68"/>
      <c r="C68"/>
      <c r="D68"/>
      <c r="E68"/>
      <c r="F68"/>
      <c r="G68"/>
      <c r="H68"/>
      <c r="I68"/>
      <c r="J68"/>
      <c r="K68"/>
    </row>
    <row r="69" spans="1:11" ht="13.8" thickBot="1" x14ac:dyDescent="0.3">
      <c r="A69"/>
      <c r="B69"/>
      <c r="C69"/>
      <c r="D69"/>
      <c r="E69"/>
      <c r="F69"/>
      <c r="G69"/>
      <c r="H69"/>
      <c r="I69"/>
      <c r="J69"/>
      <c r="K69"/>
    </row>
    <row r="70" spans="1:11" ht="13.8" thickTop="1" x14ac:dyDescent="0.25">
      <c r="A70"/>
      <c r="B70"/>
      <c r="C70"/>
      <c r="D70"/>
      <c r="E70"/>
      <c r="F70"/>
      <c r="G70"/>
      <c r="H70"/>
      <c r="I70"/>
      <c r="J70"/>
      <c r="K70"/>
    </row>
    <row r="71" spans="1:11" x14ac:dyDescent="0.25">
      <c r="A71"/>
      <c r="B71"/>
      <c r="C71"/>
      <c r="D71"/>
      <c r="E71"/>
      <c r="F71"/>
      <c r="G71"/>
      <c r="H71"/>
      <c r="I71"/>
      <c r="J71"/>
      <c r="K71"/>
    </row>
    <row r="72" spans="1:11" ht="13.8" thickBot="1" x14ac:dyDescent="0.3">
      <c r="A72"/>
      <c r="B72"/>
      <c r="C72"/>
      <c r="D72"/>
      <c r="E72"/>
      <c r="F72"/>
      <c r="G72"/>
      <c r="H72"/>
      <c r="I72"/>
      <c r="J72"/>
      <c r="K72"/>
    </row>
    <row r="73" spans="1:11" ht="13.8" thickTop="1" x14ac:dyDescent="0.25">
      <c r="A73"/>
      <c r="B73"/>
      <c r="C73"/>
      <c r="D73"/>
      <c r="E73"/>
      <c r="F73"/>
      <c r="G73"/>
      <c r="H73"/>
      <c r="I73"/>
      <c r="J73"/>
      <c r="K73"/>
    </row>
    <row r="74" spans="1:11" ht="13.8" thickBot="1" x14ac:dyDescent="0.3">
      <c r="A74"/>
      <c r="B74"/>
      <c r="C74"/>
      <c r="D74"/>
      <c r="E74"/>
      <c r="F74"/>
      <c r="G74"/>
      <c r="H74"/>
      <c r="I74"/>
      <c r="J74"/>
      <c r="K74"/>
    </row>
    <row r="75" spans="1:11" x14ac:dyDescent="0.25">
      <c r="A75"/>
      <c r="B75"/>
      <c r="C75"/>
      <c r="D75"/>
      <c r="E75"/>
      <c r="F75"/>
      <c r="G75"/>
      <c r="H75"/>
      <c r="I75"/>
      <c r="J75"/>
      <c r="K75"/>
    </row>
    <row r="76" spans="1:11" ht="13.8" thickBot="1" x14ac:dyDescent="0.3">
      <c r="A76"/>
      <c r="B76"/>
      <c r="C76"/>
      <c r="D76"/>
      <c r="E76"/>
      <c r="F76"/>
      <c r="G76"/>
      <c r="H76"/>
      <c r="I76"/>
      <c r="J76"/>
      <c r="K76"/>
    </row>
    <row r="77" spans="1:11" ht="13.8" thickTop="1" x14ac:dyDescent="0.25">
      <c r="A77"/>
      <c r="B77"/>
      <c r="C77"/>
      <c r="D77"/>
      <c r="E77"/>
      <c r="F77"/>
      <c r="G77"/>
      <c r="H77"/>
      <c r="I77"/>
      <c r="J77"/>
      <c r="K77"/>
    </row>
    <row r="78" spans="1:11" ht="13.8" thickTop="1" x14ac:dyDescent="0.25">
      <c r="A78"/>
      <c r="B78"/>
      <c r="C78"/>
      <c r="D78"/>
      <c r="E78"/>
      <c r="F78"/>
      <c r="G78"/>
      <c r="H78"/>
      <c r="I78"/>
      <c r="J78"/>
      <c r="K78"/>
    </row>
    <row r="79" spans="1:11" x14ac:dyDescent="0.25">
      <c r="A79"/>
      <c r="B79"/>
      <c r="C79"/>
      <c r="D79"/>
      <c r="E79"/>
      <c r="F79"/>
      <c r="G79"/>
      <c r="H79"/>
      <c r="I79"/>
      <c r="J79"/>
      <c r="K79"/>
    </row>
    <row r="80" spans="1:11" ht="13.8" thickBot="1" x14ac:dyDescent="0.3">
      <c r="A80"/>
      <c r="B80"/>
      <c r="C80"/>
      <c r="D80"/>
      <c r="E80"/>
      <c r="F80"/>
      <c r="G80"/>
      <c r="H80"/>
      <c r="I80"/>
      <c r="J80"/>
      <c r="K80"/>
    </row>
    <row r="81" spans="1:11" ht="13.8" thickTop="1" x14ac:dyDescent="0.25">
      <c r="A81"/>
      <c r="B81"/>
      <c r="C81"/>
      <c r="D81"/>
      <c r="E81"/>
      <c r="F81"/>
      <c r="G81"/>
      <c r="H81"/>
      <c r="I81"/>
      <c r="J81"/>
      <c r="K81"/>
    </row>
    <row r="82" spans="1:11" x14ac:dyDescent="0.25">
      <c r="A82"/>
      <c r="B82"/>
      <c r="C82"/>
      <c r="D82"/>
      <c r="E82"/>
      <c r="F82"/>
      <c r="G82"/>
      <c r="H82"/>
      <c r="I82"/>
      <c r="J82"/>
      <c r="K82"/>
    </row>
    <row r="83" spans="1:11" ht="13.8" thickBot="1" x14ac:dyDescent="0.3">
      <c r="A83"/>
      <c r="B83"/>
      <c r="C83"/>
      <c r="D83"/>
      <c r="E83"/>
      <c r="F83"/>
      <c r="G83"/>
      <c r="H83"/>
      <c r="I83"/>
      <c r="J83"/>
      <c r="K83"/>
    </row>
    <row r="84" spans="1:11" ht="13.8" thickTop="1" x14ac:dyDescent="0.25">
      <c r="A84"/>
      <c r="B84"/>
      <c r="C84"/>
      <c r="D84"/>
      <c r="E84"/>
      <c r="F84"/>
      <c r="G84"/>
      <c r="H84"/>
      <c r="I84"/>
      <c r="J84"/>
      <c r="K84"/>
    </row>
    <row r="85" spans="1:11" ht="13.8" thickBot="1" x14ac:dyDescent="0.3">
      <c r="A85"/>
      <c r="B85"/>
      <c r="C85"/>
      <c r="D85"/>
      <c r="E85"/>
      <c r="F85"/>
      <c r="G85"/>
      <c r="H85"/>
      <c r="I85"/>
      <c r="J85"/>
      <c r="K85"/>
    </row>
    <row r="86" spans="1:11" ht="13.8" thickTop="1" x14ac:dyDescent="0.25">
      <c r="A86"/>
      <c r="B86"/>
      <c r="C86"/>
      <c r="D86"/>
      <c r="E86"/>
      <c r="F86"/>
      <c r="G86"/>
      <c r="H86"/>
      <c r="I86"/>
      <c r="J86"/>
      <c r="K86"/>
    </row>
    <row r="87" spans="1:11" x14ac:dyDescent="0.25">
      <c r="A87"/>
      <c r="B87"/>
      <c r="C87"/>
      <c r="D87"/>
      <c r="E87"/>
      <c r="F87"/>
      <c r="G87"/>
      <c r="H87"/>
      <c r="I87"/>
      <c r="J87"/>
      <c r="K87"/>
    </row>
    <row r="88" spans="1:11" x14ac:dyDescent="0.25">
      <c r="A88"/>
      <c r="B88"/>
      <c r="C88"/>
      <c r="D88"/>
      <c r="E88"/>
      <c r="F88"/>
      <c r="G88"/>
      <c r="H88"/>
      <c r="I88"/>
      <c r="J88"/>
      <c r="K88"/>
    </row>
    <row r="89" spans="1:11" ht="13.8" thickBot="1" x14ac:dyDescent="0.3">
      <c r="A89"/>
      <c r="B89"/>
      <c r="C89"/>
      <c r="D89"/>
      <c r="E89"/>
      <c r="F89"/>
      <c r="G89"/>
      <c r="H89"/>
      <c r="I89"/>
      <c r="J89"/>
      <c r="K89"/>
    </row>
    <row r="90" spans="1:11" ht="13.8" thickTop="1" x14ac:dyDescent="0.25">
      <c r="A90"/>
      <c r="B90"/>
      <c r="C90"/>
      <c r="D90"/>
      <c r="E90"/>
      <c r="F90"/>
      <c r="G90"/>
      <c r="H90"/>
      <c r="I90"/>
      <c r="J90"/>
      <c r="K90"/>
    </row>
    <row r="91" spans="1:11" ht="13.8" thickBot="1" x14ac:dyDescent="0.3">
      <c r="A91"/>
      <c r="B91"/>
      <c r="C91"/>
      <c r="D91"/>
      <c r="E91"/>
      <c r="F91"/>
      <c r="G91"/>
      <c r="H91"/>
      <c r="I91"/>
      <c r="J91"/>
      <c r="K91"/>
    </row>
    <row r="92" spans="1:11" ht="13.8" thickTop="1" x14ac:dyDescent="0.25">
      <c r="A92"/>
      <c r="B92"/>
      <c r="C92"/>
      <c r="D92"/>
      <c r="E92"/>
      <c r="F92"/>
      <c r="G92"/>
      <c r="H92"/>
      <c r="I92"/>
      <c r="J92"/>
      <c r="K92"/>
    </row>
    <row r="93" spans="1:11" ht="13.8" thickTop="1" x14ac:dyDescent="0.25">
      <c r="A93"/>
      <c r="B93"/>
      <c r="C93"/>
      <c r="D93"/>
      <c r="E93"/>
      <c r="F93"/>
      <c r="G93"/>
      <c r="H93"/>
      <c r="I93"/>
      <c r="J93"/>
      <c r="K93"/>
    </row>
    <row r="94" spans="1:11" x14ac:dyDescent="0.25">
      <c r="A94"/>
      <c r="B94"/>
      <c r="C94"/>
      <c r="D94"/>
      <c r="E94"/>
      <c r="F94"/>
      <c r="G94"/>
      <c r="H94"/>
      <c r="I94"/>
      <c r="J94"/>
      <c r="K94"/>
    </row>
    <row r="95" spans="1:11" ht="13.8" thickBot="1" x14ac:dyDescent="0.3">
      <c r="A95"/>
      <c r="B95"/>
      <c r="C95"/>
      <c r="D95"/>
      <c r="E95"/>
      <c r="F95"/>
      <c r="G95"/>
      <c r="H95"/>
      <c r="I95"/>
      <c r="J95"/>
      <c r="K95"/>
    </row>
    <row r="96" spans="1:11" x14ac:dyDescent="0.25">
      <c r="A96"/>
      <c r="B96"/>
      <c r="C96"/>
      <c r="D96"/>
      <c r="E96"/>
      <c r="F96"/>
      <c r="G96"/>
      <c r="H96"/>
      <c r="I96"/>
      <c r="J96"/>
      <c r="K96"/>
    </row>
    <row r="97" spans="1:11" ht="13.8" thickBot="1" x14ac:dyDescent="0.3">
      <c r="A97"/>
      <c r="B97"/>
      <c r="C97"/>
      <c r="D97"/>
      <c r="E97"/>
      <c r="F97"/>
      <c r="G97"/>
      <c r="H97"/>
      <c r="I97"/>
      <c r="J97"/>
      <c r="K97"/>
    </row>
    <row r="98" spans="1:11" ht="13.8" thickTop="1" x14ac:dyDescent="0.25">
      <c r="A98"/>
      <c r="B98"/>
      <c r="C98"/>
      <c r="D98"/>
      <c r="E98"/>
      <c r="F98"/>
      <c r="G98"/>
      <c r="H98"/>
      <c r="I98"/>
      <c r="J98"/>
      <c r="K98"/>
    </row>
    <row r="99" spans="1:11" x14ac:dyDescent="0.25">
      <c r="A99"/>
      <c r="B99"/>
      <c r="C99"/>
      <c r="D99"/>
      <c r="E99"/>
      <c r="F99"/>
      <c r="G99"/>
      <c r="H99"/>
      <c r="I99"/>
      <c r="J99"/>
      <c r="K99"/>
    </row>
    <row r="100" spans="1:11" x14ac:dyDescent="0.25">
      <c r="A100"/>
      <c r="B100"/>
      <c r="C100"/>
      <c r="D100"/>
      <c r="E100"/>
      <c r="F100"/>
      <c r="G100"/>
      <c r="H100"/>
      <c r="I100"/>
      <c r="J100"/>
      <c r="K100"/>
    </row>
    <row r="101" spans="1:11" x14ac:dyDescent="0.25">
      <c r="A101"/>
      <c r="B101"/>
      <c r="C101"/>
      <c r="D101"/>
      <c r="E101"/>
      <c r="F101"/>
      <c r="G101"/>
      <c r="H101"/>
      <c r="I101"/>
      <c r="J101"/>
      <c r="K101"/>
    </row>
    <row r="102" spans="1:11" ht="13.8" thickBot="1" x14ac:dyDescent="0.3">
      <c r="A102"/>
      <c r="B102"/>
      <c r="C102"/>
      <c r="D102"/>
      <c r="E102"/>
      <c r="F102"/>
      <c r="G102"/>
      <c r="H102"/>
      <c r="I102"/>
      <c r="J102"/>
      <c r="K102"/>
    </row>
    <row r="103" spans="1:11" ht="13.8" thickTop="1" x14ac:dyDescent="0.25">
      <c r="A103"/>
      <c r="B103"/>
      <c r="C103"/>
      <c r="D103"/>
      <c r="E103"/>
      <c r="F103"/>
      <c r="G103"/>
      <c r="H103"/>
      <c r="I103"/>
      <c r="J103"/>
      <c r="K103"/>
    </row>
    <row r="104" spans="1:11" x14ac:dyDescent="0.25">
      <c r="A104"/>
      <c r="B104"/>
      <c r="C104"/>
      <c r="D104"/>
      <c r="E104"/>
      <c r="F104"/>
      <c r="G104"/>
      <c r="H104"/>
      <c r="I104"/>
      <c r="J104"/>
      <c r="K104"/>
    </row>
    <row r="105" spans="1:11" x14ac:dyDescent="0.25">
      <c r="A105"/>
      <c r="B105"/>
      <c r="C105"/>
      <c r="D105"/>
      <c r="E105"/>
      <c r="F105"/>
      <c r="G105"/>
      <c r="H105"/>
      <c r="I105"/>
      <c r="J105"/>
      <c r="K105"/>
    </row>
    <row r="106" spans="1:11" ht="13.8" thickBot="1" x14ac:dyDescent="0.3">
      <c r="A106"/>
      <c r="B106"/>
      <c r="C106"/>
      <c r="D106"/>
      <c r="E106"/>
      <c r="F106"/>
      <c r="G106"/>
      <c r="H106"/>
      <c r="I106"/>
      <c r="J106"/>
      <c r="K106"/>
    </row>
    <row r="107" spans="1:11" ht="13.8" thickTop="1" x14ac:dyDescent="0.25">
      <c r="A107"/>
      <c r="B107"/>
      <c r="C107"/>
      <c r="D107"/>
      <c r="E107"/>
      <c r="F107"/>
      <c r="G107"/>
      <c r="H107"/>
      <c r="I107"/>
      <c r="J107"/>
      <c r="K107"/>
    </row>
    <row r="108" spans="1:11" ht="13.8" thickBot="1" x14ac:dyDescent="0.3">
      <c r="A108"/>
      <c r="B108"/>
      <c r="C108"/>
      <c r="D108"/>
      <c r="E108"/>
      <c r="F108"/>
      <c r="G108"/>
      <c r="H108"/>
      <c r="I108"/>
      <c r="J108"/>
      <c r="K108"/>
    </row>
    <row r="109" spans="1:11" ht="13.8" thickTop="1" x14ac:dyDescent="0.25">
      <c r="A109"/>
      <c r="B109"/>
      <c r="C109"/>
      <c r="D109"/>
      <c r="E109"/>
      <c r="F109"/>
      <c r="G109"/>
      <c r="H109"/>
      <c r="I109"/>
      <c r="J109"/>
      <c r="K109"/>
    </row>
    <row r="110" spans="1:11" ht="13.8" thickBot="1" x14ac:dyDescent="0.3">
      <c r="A110"/>
      <c r="B110"/>
      <c r="C110"/>
      <c r="D110"/>
      <c r="E110"/>
      <c r="F110"/>
      <c r="G110"/>
      <c r="H110"/>
      <c r="I110"/>
      <c r="J110"/>
      <c r="K110"/>
    </row>
    <row r="111" spans="1:11" ht="13.8" thickTop="1" x14ac:dyDescent="0.25">
      <c r="A111"/>
      <c r="B111"/>
      <c r="C111"/>
      <c r="D111"/>
      <c r="E111"/>
      <c r="F111"/>
      <c r="G111"/>
      <c r="H111"/>
      <c r="I111"/>
      <c r="J111"/>
      <c r="K111"/>
    </row>
    <row r="112" spans="1:11" ht="13.8" thickBot="1" x14ac:dyDescent="0.3">
      <c r="A112"/>
      <c r="B112"/>
      <c r="C112"/>
      <c r="D112"/>
      <c r="E112"/>
      <c r="F112"/>
      <c r="G112"/>
      <c r="H112"/>
      <c r="I112"/>
      <c r="J112"/>
      <c r="K112"/>
    </row>
    <row r="113" spans="1:11" x14ac:dyDescent="0.25">
      <c r="A113"/>
      <c r="B113"/>
      <c r="C113"/>
      <c r="D113"/>
      <c r="E113"/>
      <c r="F113"/>
      <c r="G113"/>
      <c r="H113"/>
      <c r="I113"/>
      <c r="J113"/>
      <c r="K113"/>
    </row>
    <row r="114" spans="1:11" ht="13.8" thickBot="1" x14ac:dyDescent="0.3">
      <c r="A114"/>
      <c r="B114"/>
      <c r="C114"/>
      <c r="D114"/>
      <c r="E114"/>
      <c r="F114"/>
      <c r="G114"/>
      <c r="H114"/>
      <c r="I114"/>
      <c r="J114"/>
      <c r="K114"/>
    </row>
    <row r="115" spans="1:11" ht="13.8" thickTop="1" x14ac:dyDescent="0.25">
      <c r="A115"/>
      <c r="B115"/>
      <c r="C115"/>
      <c r="D115"/>
      <c r="E115"/>
      <c r="F115"/>
      <c r="G115"/>
      <c r="H115"/>
      <c r="I115"/>
      <c r="J115"/>
      <c r="K115"/>
    </row>
    <row r="116" spans="1:11" x14ac:dyDescent="0.25">
      <c r="A116"/>
      <c r="B116"/>
      <c r="C116"/>
      <c r="D116"/>
      <c r="E116"/>
      <c r="F116"/>
      <c r="G116"/>
      <c r="H116"/>
      <c r="I116"/>
      <c r="J116"/>
      <c r="K116"/>
    </row>
    <row r="117" spans="1:11" x14ac:dyDescent="0.25">
      <c r="A117"/>
      <c r="B117"/>
      <c r="C117"/>
      <c r="D117"/>
      <c r="E117"/>
      <c r="F117"/>
      <c r="G117"/>
      <c r="H117"/>
      <c r="I117"/>
      <c r="J117"/>
      <c r="K117"/>
    </row>
    <row r="118" spans="1:11" ht="13.8" thickBot="1" x14ac:dyDescent="0.3">
      <c r="A118"/>
      <c r="B118"/>
      <c r="C118"/>
      <c r="D118"/>
      <c r="E118"/>
      <c r="F118"/>
      <c r="G118"/>
      <c r="H118"/>
      <c r="I118"/>
      <c r="J118"/>
      <c r="K118"/>
    </row>
    <row r="119" spans="1:11" ht="13.8" thickTop="1" x14ac:dyDescent="0.25">
      <c r="A119"/>
      <c r="B119"/>
      <c r="C119"/>
      <c r="D119"/>
      <c r="E119"/>
      <c r="F119"/>
      <c r="G119"/>
      <c r="H119"/>
      <c r="I119"/>
      <c r="J119"/>
      <c r="K119"/>
    </row>
    <row r="120" spans="1:11" ht="13.8" thickTop="1" x14ac:dyDescent="0.25">
      <c r="A120"/>
      <c r="B120"/>
      <c r="C120"/>
      <c r="D120"/>
      <c r="E120"/>
      <c r="F120"/>
      <c r="G120"/>
      <c r="H120"/>
      <c r="I120"/>
      <c r="J120"/>
      <c r="K120"/>
    </row>
    <row r="121" spans="1:11" x14ac:dyDescent="0.25">
      <c r="A121"/>
      <c r="B121"/>
      <c r="C121"/>
      <c r="D121"/>
      <c r="E121"/>
      <c r="F121"/>
      <c r="G121"/>
      <c r="H121"/>
      <c r="I121"/>
      <c r="J121"/>
      <c r="K121"/>
    </row>
    <row r="122" spans="1:11" ht="13.8" thickBot="1" x14ac:dyDescent="0.3">
      <c r="A122"/>
      <c r="B122"/>
      <c r="C122"/>
      <c r="D122"/>
      <c r="E122"/>
      <c r="F122"/>
      <c r="G122"/>
      <c r="H122"/>
      <c r="I122"/>
      <c r="J122"/>
      <c r="K122"/>
    </row>
    <row r="123" spans="1:11" ht="14.4" thickTop="1" thickBot="1" x14ac:dyDescent="0.3">
      <c r="A123"/>
      <c r="B123"/>
      <c r="C123"/>
      <c r="D123"/>
      <c r="E123"/>
      <c r="F123"/>
      <c r="G123"/>
      <c r="H123"/>
      <c r="I123"/>
      <c r="J123"/>
      <c r="K123"/>
    </row>
    <row r="124" spans="1:11" ht="13.8" thickTop="1" x14ac:dyDescent="0.25">
      <c r="A124"/>
      <c r="B124"/>
      <c r="C124"/>
      <c r="D124"/>
      <c r="E124"/>
      <c r="F124"/>
      <c r="G124"/>
      <c r="H124"/>
      <c r="I124"/>
      <c r="J124"/>
      <c r="K124"/>
    </row>
    <row r="125" spans="1:11" ht="13.8" thickBot="1" x14ac:dyDescent="0.3">
      <c r="A125"/>
      <c r="B125"/>
      <c r="C125"/>
      <c r="D125"/>
      <c r="E125"/>
      <c r="F125"/>
      <c r="G125"/>
      <c r="H125"/>
      <c r="I125"/>
      <c r="J125"/>
      <c r="K125"/>
    </row>
    <row r="126" spans="1:11" ht="13.8" thickTop="1" x14ac:dyDescent="0.25">
      <c r="A126"/>
      <c r="B126"/>
      <c r="C126"/>
      <c r="D126"/>
      <c r="E126"/>
      <c r="F126"/>
      <c r="G126"/>
      <c r="H126"/>
      <c r="I126"/>
      <c r="J126"/>
      <c r="K126"/>
    </row>
    <row r="127" spans="1:11" ht="13.8" thickBot="1" x14ac:dyDescent="0.3">
      <c r="A127"/>
      <c r="B127"/>
      <c r="C127"/>
      <c r="D127"/>
      <c r="E127"/>
      <c r="F127"/>
      <c r="G127"/>
      <c r="H127"/>
      <c r="I127"/>
      <c r="J127"/>
      <c r="K127"/>
    </row>
    <row r="128" spans="1:11" ht="13.8" thickTop="1" x14ac:dyDescent="0.25">
      <c r="A128"/>
      <c r="B128"/>
      <c r="C128"/>
      <c r="D128"/>
      <c r="E128"/>
      <c r="F128"/>
      <c r="G128"/>
      <c r="H128"/>
      <c r="I128"/>
      <c r="J128"/>
      <c r="K128"/>
    </row>
    <row r="129" spans="1:11" ht="13.8" thickBot="1" x14ac:dyDescent="0.3">
      <c r="A129"/>
      <c r="B129"/>
      <c r="C129"/>
      <c r="D129"/>
      <c r="E129"/>
      <c r="F129"/>
      <c r="G129"/>
      <c r="H129"/>
      <c r="I129"/>
      <c r="J129"/>
      <c r="K129"/>
    </row>
    <row r="130" spans="1:11" ht="13.8" thickTop="1" x14ac:dyDescent="0.25">
      <c r="A130"/>
      <c r="B130"/>
      <c r="C130"/>
      <c r="D130"/>
      <c r="E130"/>
      <c r="F130"/>
      <c r="G130"/>
      <c r="H130"/>
      <c r="I130"/>
      <c r="J130"/>
      <c r="K130"/>
    </row>
    <row r="131" spans="1:11" ht="14.4" thickTop="1" thickBot="1" x14ac:dyDescent="0.3">
      <c r="A131"/>
      <c r="B131"/>
      <c r="C131"/>
      <c r="D131"/>
      <c r="E131"/>
      <c r="F131"/>
      <c r="G131"/>
      <c r="H131"/>
      <c r="I131"/>
      <c r="J131"/>
      <c r="K131"/>
    </row>
    <row r="132" spans="1:11" ht="14.4" thickTop="1" thickBot="1" x14ac:dyDescent="0.3">
      <c r="A132"/>
      <c r="B132"/>
      <c r="C132"/>
      <c r="D132"/>
      <c r="E132"/>
      <c r="F132"/>
      <c r="G132"/>
      <c r="H132"/>
      <c r="I132"/>
      <c r="J132"/>
      <c r="K132"/>
    </row>
    <row r="133" spans="1:11" ht="13.8" thickTop="1" x14ac:dyDescent="0.25">
      <c r="A133"/>
      <c r="B133"/>
      <c r="C133"/>
      <c r="D133"/>
      <c r="E133"/>
      <c r="F133"/>
      <c r="G133"/>
      <c r="H133"/>
      <c r="I133"/>
      <c r="J133"/>
      <c r="K133"/>
    </row>
    <row r="134" spans="1:11" ht="13.8" thickBot="1" x14ac:dyDescent="0.3">
      <c r="A134"/>
      <c r="B134"/>
      <c r="C134"/>
      <c r="D134"/>
      <c r="E134"/>
      <c r="F134"/>
      <c r="G134"/>
      <c r="H134"/>
      <c r="I134"/>
      <c r="J134"/>
      <c r="K134"/>
    </row>
    <row r="135" spans="1:11" ht="13.8" thickTop="1" x14ac:dyDescent="0.25">
      <c r="A135"/>
      <c r="B135"/>
      <c r="C135"/>
      <c r="D135"/>
      <c r="E135"/>
      <c r="F135"/>
      <c r="G135"/>
      <c r="H135"/>
      <c r="I135"/>
      <c r="J135"/>
      <c r="K135"/>
    </row>
    <row r="136" spans="1:11" x14ac:dyDescent="0.25">
      <c r="A136"/>
      <c r="B136"/>
      <c r="C136"/>
      <c r="D136"/>
      <c r="E136"/>
      <c r="F136"/>
      <c r="G136"/>
      <c r="H136"/>
      <c r="I136"/>
      <c r="J136"/>
      <c r="K136"/>
    </row>
    <row r="137" spans="1:11" ht="13.8" thickBot="1" x14ac:dyDescent="0.3">
      <c r="A137"/>
      <c r="B137"/>
      <c r="C137"/>
      <c r="D137"/>
      <c r="E137"/>
      <c r="F137"/>
      <c r="G137"/>
      <c r="H137"/>
      <c r="I137"/>
      <c r="J137"/>
      <c r="K137"/>
    </row>
    <row r="138" spans="1:11" ht="13.8" thickTop="1" x14ac:dyDescent="0.25">
      <c r="A138"/>
      <c r="B138"/>
      <c r="C138"/>
      <c r="D138"/>
      <c r="E138"/>
      <c r="F138"/>
      <c r="G138"/>
      <c r="H138"/>
      <c r="I138"/>
      <c r="J138"/>
      <c r="K138"/>
    </row>
    <row r="139" spans="1:11" x14ac:dyDescent="0.25">
      <c r="A139"/>
      <c r="B139"/>
      <c r="C139"/>
      <c r="D139"/>
      <c r="E139"/>
      <c r="F139"/>
      <c r="G139"/>
      <c r="H139"/>
      <c r="I139"/>
      <c r="J139"/>
      <c r="K139"/>
    </row>
    <row r="140" spans="1:11" ht="13.8" thickBot="1" x14ac:dyDescent="0.3">
      <c r="A140"/>
      <c r="B140"/>
      <c r="C140"/>
      <c r="D140"/>
      <c r="E140"/>
      <c r="F140"/>
      <c r="G140"/>
      <c r="H140"/>
      <c r="I140"/>
      <c r="J140"/>
      <c r="K140"/>
    </row>
    <row r="141" spans="1:11" ht="13.8" thickTop="1" x14ac:dyDescent="0.25">
      <c r="A141"/>
      <c r="B141"/>
      <c r="C141"/>
      <c r="D141"/>
      <c r="E141"/>
      <c r="F141"/>
      <c r="G141"/>
      <c r="H141"/>
      <c r="I141"/>
      <c r="J141"/>
      <c r="K141"/>
    </row>
    <row r="142" spans="1:11" ht="13.8" thickTop="1" x14ac:dyDescent="0.25">
      <c r="A142"/>
      <c r="B142"/>
      <c r="C142"/>
      <c r="D142"/>
      <c r="E142"/>
      <c r="F142"/>
      <c r="G142"/>
      <c r="H142"/>
      <c r="I142"/>
      <c r="J142"/>
      <c r="K142"/>
    </row>
    <row r="143" spans="1:11" x14ac:dyDescent="0.25">
      <c r="A143"/>
      <c r="B143"/>
      <c r="C143"/>
      <c r="D143"/>
      <c r="E143"/>
      <c r="F143"/>
      <c r="G143"/>
      <c r="H143"/>
      <c r="I143"/>
      <c r="J143"/>
      <c r="K143"/>
    </row>
    <row r="144" spans="1:11" x14ac:dyDescent="0.25">
      <c r="A144"/>
      <c r="B144"/>
      <c r="C144"/>
      <c r="D144"/>
      <c r="E144"/>
      <c r="F144"/>
      <c r="G144"/>
      <c r="H144"/>
      <c r="I144"/>
      <c r="J144"/>
      <c r="K144"/>
    </row>
    <row r="145" spans="1:11" ht="13.8" thickBot="1" x14ac:dyDescent="0.3">
      <c r="A145"/>
      <c r="B145"/>
      <c r="C145"/>
      <c r="D145"/>
      <c r="E145"/>
      <c r="F145"/>
      <c r="G145"/>
      <c r="H145"/>
      <c r="I145"/>
      <c r="J145"/>
      <c r="K145"/>
    </row>
    <row r="146" spans="1:11" ht="13.8" thickTop="1" x14ac:dyDescent="0.25">
      <c r="A146"/>
      <c r="B146"/>
      <c r="C146"/>
      <c r="D146"/>
      <c r="E146"/>
      <c r="F146"/>
      <c r="G146"/>
      <c r="H146"/>
      <c r="I146"/>
      <c r="J146"/>
      <c r="K146"/>
    </row>
    <row r="147" spans="1:11" x14ac:dyDescent="0.25">
      <c r="A147"/>
      <c r="B147"/>
      <c r="C147"/>
      <c r="D147"/>
      <c r="E147"/>
      <c r="F147"/>
      <c r="G147"/>
      <c r="H147"/>
      <c r="I147"/>
      <c r="J147"/>
      <c r="K147"/>
    </row>
    <row r="148" spans="1:11" ht="13.8" thickBot="1" x14ac:dyDescent="0.3">
      <c r="A148"/>
      <c r="B148"/>
      <c r="C148"/>
      <c r="D148"/>
      <c r="E148"/>
      <c r="F148"/>
      <c r="G148"/>
      <c r="H148"/>
      <c r="I148"/>
      <c r="J148"/>
      <c r="K148"/>
    </row>
    <row r="149" spans="1:11" ht="13.8" thickTop="1" x14ac:dyDescent="0.25">
      <c r="A149"/>
      <c r="B149"/>
      <c r="C149"/>
      <c r="D149"/>
      <c r="E149"/>
      <c r="F149"/>
      <c r="G149"/>
      <c r="H149"/>
      <c r="I149"/>
      <c r="J149"/>
      <c r="K149"/>
    </row>
    <row r="150" spans="1:11" x14ac:dyDescent="0.25">
      <c r="A150"/>
      <c r="B150"/>
      <c r="C150"/>
      <c r="D150"/>
      <c r="E150"/>
      <c r="F150"/>
      <c r="G150"/>
      <c r="H150"/>
      <c r="I150"/>
      <c r="J150"/>
      <c r="K150"/>
    </row>
    <row r="151" spans="1:11" x14ac:dyDescent="0.25">
      <c r="A151"/>
      <c r="B151"/>
      <c r="C151"/>
      <c r="D151"/>
      <c r="E151"/>
      <c r="F151"/>
      <c r="G151"/>
      <c r="H151"/>
      <c r="I151"/>
      <c r="J151"/>
      <c r="K151"/>
    </row>
    <row r="152" spans="1:11" x14ac:dyDescent="0.25">
      <c r="A152"/>
      <c r="B152"/>
      <c r="C152"/>
      <c r="D152"/>
      <c r="E152"/>
      <c r="F152"/>
      <c r="G152"/>
      <c r="H152"/>
      <c r="I152"/>
      <c r="J152"/>
      <c r="K152"/>
    </row>
    <row r="153" spans="1:11" ht="13.8" thickBot="1" x14ac:dyDescent="0.3">
      <c r="A153"/>
      <c r="B153"/>
      <c r="C153"/>
      <c r="D153"/>
      <c r="E153"/>
      <c r="F153"/>
      <c r="G153"/>
      <c r="H153"/>
      <c r="I153"/>
      <c r="J153"/>
      <c r="K153"/>
    </row>
    <row r="154" spans="1:11" ht="14.4" thickTop="1" thickBot="1" x14ac:dyDescent="0.3">
      <c r="A154"/>
      <c r="B154"/>
      <c r="C154"/>
      <c r="D154"/>
      <c r="E154"/>
      <c r="F154"/>
      <c r="G154"/>
      <c r="H154"/>
      <c r="I154"/>
      <c r="J154"/>
      <c r="K154"/>
    </row>
    <row r="155" spans="1:11" ht="14.4" thickTop="1" thickBot="1" x14ac:dyDescent="0.3">
      <c r="A155"/>
      <c r="B155"/>
      <c r="C155"/>
      <c r="D155"/>
      <c r="E155"/>
      <c r="F155"/>
      <c r="G155"/>
      <c r="H155"/>
      <c r="I155"/>
      <c r="J155"/>
      <c r="K155"/>
    </row>
    <row r="156" spans="1:11" ht="13.8" thickTop="1" x14ac:dyDescent="0.25">
      <c r="A156"/>
      <c r="B156"/>
      <c r="C156"/>
      <c r="D156"/>
      <c r="E156"/>
      <c r="F156"/>
      <c r="G156"/>
      <c r="H156"/>
      <c r="I156"/>
      <c r="J156"/>
      <c r="K156"/>
    </row>
    <row r="157" spans="1:11" ht="13.8" thickTop="1" x14ac:dyDescent="0.25">
      <c r="A157"/>
      <c r="B157"/>
      <c r="C157"/>
      <c r="D157"/>
      <c r="E157"/>
      <c r="F157"/>
      <c r="G157"/>
      <c r="H157"/>
      <c r="I157"/>
      <c r="J157"/>
      <c r="K157"/>
    </row>
    <row r="158" spans="1:11" x14ac:dyDescent="0.25">
      <c r="A158"/>
      <c r="B158"/>
      <c r="C158"/>
      <c r="D158"/>
      <c r="E158"/>
      <c r="F158"/>
      <c r="G158"/>
      <c r="H158"/>
      <c r="I158"/>
      <c r="J158"/>
      <c r="K158"/>
    </row>
    <row r="159" spans="1:11" ht="13.8" thickBot="1" x14ac:dyDescent="0.3">
      <c r="A159"/>
      <c r="B159"/>
      <c r="C159"/>
      <c r="D159"/>
      <c r="E159"/>
      <c r="F159"/>
      <c r="G159"/>
      <c r="H159"/>
      <c r="I159"/>
      <c r="J159"/>
      <c r="K159"/>
    </row>
    <row r="160" spans="1:11" ht="13.8" thickTop="1" x14ac:dyDescent="0.25">
      <c r="A160"/>
      <c r="B160"/>
      <c r="C160"/>
      <c r="D160"/>
      <c r="E160"/>
      <c r="F160"/>
      <c r="G160"/>
      <c r="H160"/>
      <c r="I160"/>
      <c r="J160"/>
      <c r="K160"/>
    </row>
    <row r="161" spans="1:11" ht="13.8" thickBot="1" x14ac:dyDescent="0.3">
      <c r="A161"/>
      <c r="B161"/>
      <c r="C161"/>
      <c r="D161"/>
      <c r="E161"/>
      <c r="F161"/>
      <c r="G161"/>
      <c r="H161"/>
      <c r="I161"/>
      <c r="J161"/>
      <c r="K161"/>
    </row>
    <row r="162" spans="1:11" ht="13.8" thickTop="1" x14ac:dyDescent="0.25">
      <c r="A162"/>
      <c r="B162"/>
      <c r="C162"/>
      <c r="D162"/>
      <c r="E162"/>
      <c r="F162"/>
      <c r="G162"/>
      <c r="H162"/>
      <c r="I162"/>
      <c r="J162"/>
      <c r="K162"/>
    </row>
    <row r="163" spans="1:11" ht="13.8" thickTop="1" x14ac:dyDescent="0.25">
      <c r="A163"/>
      <c r="B163"/>
      <c r="C163"/>
      <c r="D163"/>
      <c r="E163"/>
      <c r="F163"/>
      <c r="G163"/>
      <c r="H163"/>
      <c r="I163"/>
      <c r="J163"/>
      <c r="K163"/>
    </row>
    <row r="164" spans="1:11" ht="13.8" thickBot="1" x14ac:dyDescent="0.3">
      <c r="A164"/>
      <c r="B164"/>
      <c r="C164"/>
      <c r="D164"/>
      <c r="E164"/>
      <c r="F164"/>
      <c r="G164"/>
      <c r="H164"/>
      <c r="I164"/>
      <c r="J164"/>
      <c r="K164"/>
    </row>
    <row r="165" spans="1:11" x14ac:dyDescent="0.25">
      <c r="A165"/>
      <c r="B165"/>
      <c r="C165"/>
      <c r="D165"/>
      <c r="E165"/>
      <c r="F165"/>
      <c r="G165"/>
      <c r="H165"/>
      <c r="I165"/>
      <c r="J165"/>
      <c r="K165"/>
    </row>
    <row r="166" spans="1:11" x14ac:dyDescent="0.25">
      <c r="A166"/>
      <c r="B166"/>
      <c r="C166"/>
      <c r="D166"/>
      <c r="E166"/>
      <c r="F166"/>
      <c r="G166"/>
      <c r="H166"/>
      <c r="I166"/>
      <c r="J166"/>
      <c r="K166"/>
    </row>
    <row r="167" spans="1:11" ht="13.8" thickBot="1" x14ac:dyDescent="0.3">
      <c r="A167"/>
      <c r="B167"/>
      <c r="C167"/>
      <c r="D167"/>
      <c r="E167"/>
      <c r="F167"/>
      <c r="G167"/>
      <c r="H167"/>
      <c r="I167"/>
      <c r="J167"/>
      <c r="K167"/>
    </row>
    <row r="168" spans="1:11" ht="13.8" thickTop="1" x14ac:dyDescent="0.25">
      <c r="A168"/>
      <c r="B168"/>
      <c r="C168"/>
      <c r="D168"/>
      <c r="E168"/>
      <c r="F168"/>
      <c r="G168"/>
      <c r="H168"/>
      <c r="I168"/>
      <c r="J168"/>
      <c r="K168"/>
    </row>
    <row r="169" spans="1:11" x14ac:dyDescent="0.25">
      <c r="A169"/>
      <c r="B169"/>
      <c r="C169"/>
      <c r="D169"/>
      <c r="E169"/>
      <c r="F169"/>
      <c r="G169"/>
      <c r="H169"/>
      <c r="I169"/>
      <c r="J169"/>
      <c r="K169"/>
    </row>
    <row r="170" spans="1:11" x14ac:dyDescent="0.25">
      <c r="A170"/>
      <c r="B170"/>
      <c r="C170"/>
      <c r="D170"/>
      <c r="E170"/>
      <c r="F170"/>
      <c r="G170"/>
      <c r="H170"/>
      <c r="I170"/>
      <c r="J170"/>
      <c r="K170"/>
    </row>
    <row r="171" spans="1:11" ht="13.8" thickBot="1" x14ac:dyDescent="0.3">
      <c r="A171"/>
      <c r="B171"/>
      <c r="C171"/>
      <c r="D171"/>
      <c r="E171"/>
      <c r="F171"/>
      <c r="G171"/>
      <c r="H171"/>
      <c r="I171"/>
      <c r="J171"/>
      <c r="K171"/>
    </row>
    <row r="172" spans="1:11" ht="13.8" thickTop="1" x14ac:dyDescent="0.25">
      <c r="A172"/>
      <c r="B172"/>
      <c r="C172"/>
      <c r="D172"/>
      <c r="E172"/>
      <c r="F172"/>
      <c r="G172"/>
      <c r="H172"/>
      <c r="I172"/>
      <c r="J172"/>
      <c r="K172"/>
    </row>
    <row r="173" spans="1:11" ht="13.8" thickBot="1" x14ac:dyDescent="0.3">
      <c r="A173"/>
      <c r="B173"/>
      <c r="C173"/>
      <c r="D173"/>
      <c r="E173"/>
      <c r="F173"/>
      <c r="G173"/>
      <c r="H173"/>
      <c r="I173"/>
      <c r="J173"/>
      <c r="K173"/>
    </row>
    <row r="174" spans="1:11" ht="13.8" thickTop="1" x14ac:dyDescent="0.25">
      <c r="A174"/>
      <c r="B174"/>
      <c r="C174"/>
      <c r="D174"/>
      <c r="E174"/>
      <c r="F174"/>
      <c r="G174"/>
      <c r="H174"/>
      <c r="I174"/>
      <c r="J174"/>
      <c r="K174"/>
    </row>
    <row r="175" spans="1:11" x14ac:dyDescent="0.25">
      <c r="A175"/>
      <c r="B175"/>
      <c r="C175"/>
      <c r="D175"/>
      <c r="E175"/>
      <c r="F175"/>
      <c r="G175"/>
      <c r="H175"/>
      <c r="I175"/>
      <c r="J175"/>
      <c r="K175"/>
    </row>
    <row r="176" spans="1:11" ht="13.8" thickBot="1" x14ac:dyDescent="0.3">
      <c r="A176"/>
      <c r="B176"/>
      <c r="C176"/>
      <c r="D176"/>
      <c r="E176"/>
      <c r="F176"/>
      <c r="G176"/>
      <c r="H176"/>
      <c r="I176"/>
      <c r="J176"/>
      <c r="K176"/>
    </row>
    <row r="177" spans="1:11" ht="13.8" thickTop="1" x14ac:dyDescent="0.25">
      <c r="A177"/>
      <c r="B177"/>
      <c r="C177"/>
      <c r="D177"/>
      <c r="E177"/>
      <c r="F177"/>
      <c r="G177"/>
      <c r="H177"/>
      <c r="I177"/>
      <c r="J177"/>
      <c r="K177"/>
    </row>
    <row r="178" spans="1:11" x14ac:dyDescent="0.25">
      <c r="A178"/>
      <c r="B178"/>
      <c r="C178"/>
      <c r="D178"/>
      <c r="E178"/>
      <c r="F178"/>
      <c r="G178"/>
      <c r="H178"/>
      <c r="I178"/>
      <c r="J178"/>
      <c r="K178"/>
    </row>
    <row r="179" spans="1:11" ht="13.8" thickBot="1" x14ac:dyDescent="0.3">
      <c r="A179"/>
      <c r="B179"/>
      <c r="C179"/>
      <c r="D179"/>
      <c r="E179"/>
      <c r="F179"/>
      <c r="G179"/>
      <c r="H179"/>
      <c r="I179"/>
      <c r="J179"/>
      <c r="K179"/>
    </row>
    <row r="180" spans="1:11" ht="13.8" thickTop="1" x14ac:dyDescent="0.25">
      <c r="A180"/>
      <c r="B180"/>
      <c r="C180"/>
      <c r="D180"/>
      <c r="E180"/>
      <c r="F180"/>
      <c r="G180"/>
      <c r="H180"/>
      <c r="I180"/>
      <c r="J180"/>
      <c r="K180"/>
    </row>
    <row r="181" spans="1:11" x14ac:dyDescent="0.25">
      <c r="A181"/>
      <c r="B181"/>
      <c r="C181"/>
      <c r="D181"/>
      <c r="E181"/>
      <c r="F181"/>
      <c r="G181"/>
      <c r="H181"/>
      <c r="I181"/>
      <c r="J181"/>
      <c r="K181"/>
    </row>
    <row r="182" spans="1:11" x14ac:dyDescent="0.25">
      <c r="A182"/>
      <c r="B182"/>
      <c r="C182"/>
      <c r="D182"/>
      <c r="E182"/>
      <c r="F182"/>
      <c r="G182"/>
      <c r="H182"/>
      <c r="I182"/>
      <c r="J182"/>
      <c r="K182"/>
    </row>
    <row r="183" spans="1:11" ht="13.8" thickBot="1" x14ac:dyDescent="0.3">
      <c r="A183"/>
      <c r="B183"/>
      <c r="C183"/>
      <c r="D183"/>
      <c r="E183"/>
      <c r="F183"/>
      <c r="G183"/>
      <c r="H183"/>
      <c r="I183"/>
      <c r="J183"/>
      <c r="K183"/>
    </row>
    <row r="184" spans="1:11" ht="13.8" thickTop="1" x14ac:dyDescent="0.25">
      <c r="A184"/>
      <c r="B184"/>
      <c r="C184"/>
      <c r="D184"/>
      <c r="E184"/>
      <c r="F184"/>
      <c r="G184"/>
      <c r="H184"/>
      <c r="I184"/>
      <c r="J184"/>
      <c r="K184"/>
    </row>
    <row r="185" spans="1:11" x14ac:dyDescent="0.25">
      <c r="A185"/>
      <c r="B185"/>
      <c r="C185"/>
      <c r="D185"/>
      <c r="E185"/>
      <c r="F185"/>
      <c r="G185"/>
      <c r="H185"/>
      <c r="I185"/>
      <c r="J185"/>
      <c r="K185"/>
    </row>
    <row r="186" spans="1:11" ht="13.8" thickBot="1" x14ac:dyDescent="0.3">
      <c r="A186"/>
      <c r="B186"/>
      <c r="C186"/>
      <c r="D186"/>
      <c r="E186"/>
      <c r="F186"/>
      <c r="G186"/>
      <c r="H186"/>
      <c r="I186"/>
      <c r="J186"/>
      <c r="K186"/>
    </row>
    <row r="187" spans="1:11" ht="13.8" thickTop="1" x14ac:dyDescent="0.25">
      <c r="A187"/>
      <c r="B187"/>
      <c r="C187"/>
      <c r="D187"/>
      <c r="E187"/>
      <c r="F187"/>
      <c r="G187"/>
      <c r="H187"/>
      <c r="I187"/>
      <c r="J187"/>
      <c r="K187"/>
    </row>
    <row r="188" spans="1:11" ht="14.4" thickTop="1" thickBot="1" x14ac:dyDescent="0.3">
      <c r="A188"/>
      <c r="B188"/>
      <c r="C188"/>
      <c r="D188"/>
      <c r="E188"/>
      <c r="F188"/>
      <c r="G188"/>
      <c r="H188"/>
      <c r="I188"/>
      <c r="J188"/>
      <c r="K188"/>
    </row>
    <row r="189" spans="1:11" ht="13.8" thickTop="1" x14ac:dyDescent="0.25">
      <c r="A189"/>
      <c r="B189"/>
      <c r="C189"/>
      <c r="D189"/>
      <c r="E189"/>
      <c r="F189"/>
      <c r="G189"/>
      <c r="H189"/>
      <c r="I189"/>
      <c r="J189"/>
      <c r="K189"/>
    </row>
    <row r="190" spans="1:11" x14ac:dyDescent="0.25">
      <c r="A190"/>
      <c r="B190"/>
      <c r="C190"/>
      <c r="D190"/>
      <c r="E190"/>
      <c r="F190"/>
      <c r="G190"/>
      <c r="H190"/>
      <c r="I190"/>
      <c r="J190"/>
      <c r="K190"/>
    </row>
    <row r="191" spans="1:11" x14ac:dyDescent="0.25">
      <c r="A191"/>
      <c r="B191"/>
      <c r="C191"/>
      <c r="D191"/>
      <c r="E191"/>
      <c r="F191"/>
      <c r="G191"/>
      <c r="H191"/>
      <c r="I191"/>
      <c r="J191"/>
      <c r="K191"/>
    </row>
    <row r="192" spans="1:11" ht="13.8" thickBot="1" x14ac:dyDescent="0.3">
      <c r="A192"/>
      <c r="B192"/>
      <c r="C192"/>
      <c r="D192"/>
      <c r="E192"/>
      <c r="F192"/>
      <c r="G192"/>
      <c r="H192"/>
      <c r="I192"/>
      <c r="J192"/>
      <c r="K192"/>
    </row>
    <row r="193" spans="1:11" ht="13.8" thickTop="1" x14ac:dyDescent="0.25">
      <c r="A193"/>
      <c r="B193"/>
      <c r="C193"/>
      <c r="D193"/>
      <c r="E193"/>
      <c r="F193"/>
      <c r="G193"/>
      <c r="H193"/>
      <c r="I193"/>
      <c r="J193"/>
      <c r="K193"/>
    </row>
    <row r="194" spans="1:11" x14ac:dyDescent="0.25">
      <c r="A194"/>
      <c r="B194"/>
      <c r="C194"/>
      <c r="D194"/>
      <c r="E194"/>
      <c r="F194"/>
      <c r="G194"/>
      <c r="H194"/>
      <c r="I194"/>
      <c r="J194"/>
      <c r="K194"/>
    </row>
    <row r="195" spans="1:11" x14ac:dyDescent="0.25">
      <c r="A195"/>
      <c r="B195"/>
      <c r="C195"/>
      <c r="D195"/>
      <c r="E195"/>
      <c r="F195"/>
      <c r="G195"/>
      <c r="H195"/>
      <c r="I195"/>
      <c r="J195"/>
      <c r="K195"/>
    </row>
    <row r="196" spans="1:11" ht="13.8" thickBot="1" x14ac:dyDescent="0.3">
      <c r="A196"/>
      <c r="B196"/>
      <c r="C196"/>
      <c r="D196"/>
      <c r="E196"/>
      <c r="F196"/>
      <c r="G196"/>
      <c r="H196"/>
      <c r="I196"/>
      <c r="J196"/>
      <c r="K196"/>
    </row>
    <row r="197" spans="1:11" ht="13.8" thickTop="1" x14ac:dyDescent="0.25">
      <c r="A197"/>
      <c r="B197"/>
      <c r="C197"/>
      <c r="D197"/>
      <c r="E197"/>
      <c r="F197"/>
      <c r="G197"/>
      <c r="H197"/>
      <c r="I197"/>
      <c r="J197"/>
      <c r="K197"/>
    </row>
    <row r="198" spans="1:11" ht="13.8" thickBot="1" x14ac:dyDescent="0.3">
      <c r="A198"/>
      <c r="B198"/>
      <c r="C198"/>
      <c r="D198"/>
      <c r="E198"/>
      <c r="F198"/>
      <c r="G198"/>
      <c r="H198"/>
      <c r="I198"/>
      <c r="J198"/>
      <c r="K198"/>
    </row>
    <row r="199" spans="1:11" ht="13.8" thickTop="1" x14ac:dyDescent="0.25">
      <c r="A199"/>
      <c r="B199"/>
      <c r="C199"/>
      <c r="D199"/>
      <c r="E199"/>
      <c r="F199"/>
      <c r="G199"/>
      <c r="H199"/>
      <c r="I199"/>
      <c r="J199"/>
      <c r="K199"/>
    </row>
    <row r="200" spans="1:11" ht="13.8" thickBot="1" x14ac:dyDescent="0.3">
      <c r="A200"/>
      <c r="B200"/>
      <c r="C200"/>
      <c r="D200"/>
      <c r="E200"/>
      <c r="F200"/>
      <c r="G200"/>
      <c r="H200"/>
      <c r="I200"/>
      <c r="J200"/>
      <c r="K200"/>
    </row>
    <row r="201" spans="1:11" ht="14.4" thickTop="1" thickBot="1" x14ac:dyDescent="0.3">
      <c r="A201"/>
      <c r="B201"/>
      <c r="C201"/>
      <c r="D201"/>
      <c r="E201"/>
      <c r="F201"/>
      <c r="G201"/>
      <c r="H201"/>
      <c r="I201"/>
      <c r="J201"/>
      <c r="K201"/>
    </row>
    <row r="202" spans="1:11" x14ac:dyDescent="0.25">
      <c r="A202"/>
      <c r="B202"/>
      <c r="C202"/>
      <c r="D202"/>
      <c r="E202"/>
      <c r="F202"/>
      <c r="G202"/>
      <c r="H202"/>
      <c r="I202"/>
      <c r="J202"/>
      <c r="K202"/>
    </row>
    <row r="203" spans="1:11" ht="13.8" thickBot="1" x14ac:dyDescent="0.3">
      <c r="A203"/>
      <c r="B203"/>
      <c r="C203"/>
      <c r="D203"/>
      <c r="E203"/>
      <c r="F203"/>
      <c r="G203"/>
      <c r="H203"/>
      <c r="I203"/>
      <c r="J203"/>
      <c r="K203"/>
    </row>
    <row r="204" spans="1:11" ht="14.4" thickTop="1" thickBot="1" x14ac:dyDescent="0.3">
      <c r="A204"/>
      <c r="B204"/>
      <c r="C204"/>
      <c r="D204"/>
      <c r="E204"/>
      <c r="F204"/>
      <c r="G204"/>
      <c r="H204"/>
      <c r="I204"/>
      <c r="J204"/>
      <c r="K204"/>
    </row>
    <row r="205" spans="1:11" ht="13.8" thickTop="1" x14ac:dyDescent="0.25">
      <c r="A205"/>
      <c r="B205"/>
      <c r="C205"/>
      <c r="D205"/>
      <c r="E205"/>
      <c r="F205"/>
      <c r="G205"/>
      <c r="H205"/>
      <c r="I205"/>
      <c r="J205"/>
      <c r="K205"/>
    </row>
    <row r="206" spans="1:11" x14ac:dyDescent="0.25">
      <c r="A206"/>
      <c r="B206"/>
      <c r="C206"/>
      <c r="D206"/>
      <c r="E206"/>
      <c r="F206"/>
      <c r="G206"/>
      <c r="H206"/>
      <c r="I206"/>
      <c r="J206"/>
      <c r="K206"/>
    </row>
    <row r="207" spans="1:11" x14ac:dyDescent="0.25">
      <c r="A207"/>
      <c r="B207"/>
      <c r="C207"/>
      <c r="D207"/>
      <c r="E207"/>
      <c r="F207"/>
      <c r="G207"/>
      <c r="H207"/>
      <c r="I207"/>
      <c r="J207"/>
      <c r="K207"/>
    </row>
    <row r="208" spans="1:11" ht="13.8" thickBot="1" x14ac:dyDescent="0.3">
      <c r="A208"/>
      <c r="B208"/>
      <c r="C208"/>
      <c r="D208"/>
      <c r="E208"/>
      <c r="F208"/>
      <c r="G208"/>
      <c r="H208"/>
      <c r="I208"/>
      <c r="J208"/>
      <c r="K208"/>
    </row>
    <row r="209" spans="1:11" ht="13.8" thickTop="1" x14ac:dyDescent="0.25">
      <c r="A209"/>
      <c r="B209"/>
      <c r="C209"/>
      <c r="D209"/>
      <c r="E209"/>
      <c r="F209"/>
      <c r="G209"/>
      <c r="H209"/>
      <c r="I209"/>
      <c r="J209"/>
      <c r="K209"/>
    </row>
    <row r="210" spans="1:11" x14ac:dyDescent="0.25">
      <c r="A210"/>
      <c r="B210"/>
      <c r="C210"/>
      <c r="D210"/>
      <c r="E210"/>
      <c r="F210"/>
      <c r="G210"/>
      <c r="H210"/>
      <c r="I210"/>
      <c r="J210"/>
      <c r="K210"/>
    </row>
    <row r="211" spans="1:11" x14ac:dyDescent="0.25">
      <c r="A211"/>
      <c r="B211"/>
      <c r="C211"/>
      <c r="D211"/>
      <c r="E211"/>
      <c r="F211"/>
      <c r="G211"/>
      <c r="H211"/>
      <c r="I211"/>
      <c r="J211"/>
      <c r="K211"/>
    </row>
    <row r="212" spans="1:11" ht="13.8" thickBot="1" x14ac:dyDescent="0.3">
      <c r="A212"/>
      <c r="B212"/>
      <c r="C212"/>
      <c r="D212"/>
      <c r="E212"/>
      <c r="F212"/>
      <c r="G212"/>
      <c r="H212"/>
      <c r="I212"/>
      <c r="J212"/>
      <c r="K212"/>
    </row>
    <row r="213" spans="1:11" ht="14.4" thickTop="1" thickBot="1" x14ac:dyDescent="0.3">
      <c r="A213"/>
      <c r="B213"/>
      <c r="C213"/>
      <c r="D213"/>
      <c r="E213"/>
      <c r="F213"/>
      <c r="G213"/>
      <c r="H213"/>
      <c r="I213"/>
      <c r="J213"/>
      <c r="K213"/>
    </row>
    <row r="214" spans="1:11" ht="14.4" thickTop="1" thickBot="1" x14ac:dyDescent="0.3">
      <c r="A214"/>
      <c r="B214"/>
      <c r="C214"/>
      <c r="D214"/>
      <c r="E214"/>
      <c r="F214"/>
      <c r="G214"/>
      <c r="H214"/>
      <c r="I214"/>
      <c r="J214"/>
      <c r="K214"/>
    </row>
    <row r="215" spans="1:11" ht="13.8" thickTop="1" x14ac:dyDescent="0.25">
      <c r="A215"/>
      <c r="B215"/>
      <c r="C215"/>
      <c r="D215"/>
      <c r="E215"/>
      <c r="F215"/>
      <c r="G215"/>
      <c r="H215"/>
      <c r="I215"/>
      <c r="J215"/>
      <c r="K215"/>
    </row>
    <row r="216" spans="1:11" ht="13.8" thickBot="1" x14ac:dyDescent="0.3">
      <c r="A216"/>
      <c r="B216"/>
      <c r="C216"/>
      <c r="D216"/>
      <c r="E216"/>
      <c r="F216"/>
      <c r="G216"/>
      <c r="H216"/>
      <c r="I216"/>
      <c r="J216"/>
      <c r="K216"/>
    </row>
    <row r="217" spans="1:11" ht="13.8" thickTop="1" x14ac:dyDescent="0.25">
      <c r="A217"/>
      <c r="B217"/>
      <c r="C217"/>
      <c r="D217"/>
      <c r="E217"/>
      <c r="F217"/>
      <c r="G217"/>
      <c r="H217"/>
      <c r="I217"/>
      <c r="J217"/>
      <c r="K217"/>
    </row>
    <row r="218" spans="1:11" x14ac:dyDescent="0.25">
      <c r="A218"/>
      <c r="B218"/>
      <c r="C218"/>
      <c r="D218"/>
      <c r="E218"/>
      <c r="F218"/>
      <c r="G218"/>
      <c r="H218"/>
      <c r="I218"/>
      <c r="J218"/>
      <c r="K218"/>
    </row>
    <row r="219" spans="1:11" x14ac:dyDescent="0.25">
      <c r="A219"/>
      <c r="B219"/>
      <c r="C219"/>
      <c r="D219"/>
      <c r="E219"/>
      <c r="F219"/>
      <c r="G219"/>
      <c r="H219"/>
      <c r="I219"/>
      <c r="J219"/>
      <c r="K219"/>
    </row>
    <row r="220" spans="1:11" x14ac:dyDescent="0.25">
      <c r="A220"/>
      <c r="B220"/>
      <c r="C220"/>
      <c r="D220"/>
      <c r="E220"/>
      <c r="F220"/>
      <c r="G220"/>
      <c r="H220"/>
      <c r="I220"/>
      <c r="J220"/>
      <c r="K220"/>
    </row>
    <row r="221" spans="1:11" x14ac:dyDescent="0.25">
      <c r="A221"/>
      <c r="B221"/>
      <c r="C221"/>
      <c r="D221"/>
      <c r="E221"/>
      <c r="F221"/>
      <c r="G221"/>
      <c r="H221"/>
      <c r="I221"/>
      <c r="J221"/>
      <c r="K221"/>
    </row>
    <row r="222" spans="1:11" ht="13.8" thickBot="1" x14ac:dyDescent="0.3">
      <c r="A222"/>
      <c r="B222"/>
      <c r="C222"/>
      <c r="D222"/>
      <c r="E222"/>
      <c r="F222"/>
      <c r="G222"/>
      <c r="H222"/>
      <c r="I222"/>
      <c r="J222"/>
      <c r="K222"/>
    </row>
    <row r="223" spans="1:11" ht="14.4" thickTop="1" thickBot="1" x14ac:dyDescent="0.3">
      <c r="A223"/>
      <c r="B223"/>
      <c r="C223"/>
      <c r="D223"/>
      <c r="E223"/>
      <c r="F223"/>
      <c r="G223"/>
      <c r="H223"/>
      <c r="I223"/>
      <c r="J223"/>
      <c r="K223"/>
    </row>
    <row r="224" spans="1:11" ht="13.8" thickTop="1" x14ac:dyDescent="0.25">
      <c r="A224"/>
      <c r="B224"/>
      <c r="C224"/>
      <c r="D224"/>
      <c r="E224"/>
      <c r="F224"/>
      <c r="G224"/>
      <c r="H224"/>
      <c r="I224"/>
      <c r="J224"/>
      <c r="K224"/>
    </row>
    <row r="225" spans="1:11" x14ac:dyDescent="0.25">
      <c r="A225"/>
      <c r="B225"/>
      <c r="C225"/>
      <c r="D225"/>
      <c r="E225"/>
      <c r="F225"/>
      <c r="G225"/>
      <c r="H225"/>
      <c r="I225"/>
      <c r="J225"/>
      <c r="K225"/>
    </row>
    <row r="226" spans="1:11" ht="13.8" thickBot="1" x14ac:dyDescent="0.3">
      <c r="A226"/>
      <c r="B226"/>
      <c r="C226"/>
      <c r="D226"/>
      <c r="E226"/>
      <c r="F226"/>
      <c r="G226"/>
      <c r="H226"/>
      <c r="I226"/>
      <c r="J226"/>
      <c r="K226"/>
    </row>
    <row r="227" spans="1:11" ht="13.8" thickTop="1" x14ac:dyDescent="0.25">
      <c r="A227"/>
      <c r="B227"/>
      <c r="C227"/>
      <c r="D227"/>
      <c r="E227"/>
      <c r="F227"/>
      <c r="G227"/>
      <c r="H227"/>
      <c r="I227"/>
      <c r="J227"/>
      <c r="K227"/>
    </row>
    <row r="228" spans="1:11" ht="13.8" thickBot="1" x14ac:dyDescent="0.3">
      <c r="A228"/>
      <c r="B228"/>
      <c r="C228"/>
      <c r="D228"/>
      <c r="E228"/>
      <c r="F228"/>
      <c r="G228"/>
      <c r="H228"/>
      <c r="I228"/>
      <c r="J228"/>
      <c r="K228"/>
    </row>
    <row r="229" spans="1:11" ht="13.8" thickTop="1" x14ac:dyDescent="0.25">
      <c r="A229"/>
      <c r="B229"/>
      <c r="C229"/>
      <c r="D229"/>
      <c r="E229"/>
      <c r="F229"/>
      <c r="G229"/>
      <c r="H229"/>
      <c r="I229"/>
      <c r="J229"/>
      <c r="K229"/>
    </row>
    <row r="230" spans="1:11" x14ac:dyDescent="0.25">
      <c r="A230"/>
      <c r="B230"/>
      <c r="C230"/>
      <c r="D230"/>
      <c r="E230"/>
      <c r="F230"/>
      <c r="G230"/>
      <c r="H230"/>
      <c r="I230"/>
      <c r="J230"/>
      <c r="K230"/>
    </row>
    <row r="231" spans="1:11" ht="13.8" thickBot="1" x14ac:dyDescent="0.3">
      <c r="A231"/>
      <c r="B231"/>
      <c r="C231"/>
      <c r="D231"/>
      <c r="E231"/>
      <c r="F231"/>
      <c r="G231"/>
      <c r="H231"/>
      <c r="I231"/>
      <c r="J231"/>
      <c r="K231"/>
    </row>
    <row r="232" spans="1:11" ht="13.8" thickTop="1" x14ac:dyDescent="0.25">
      <c r="A232"/>
      <c r="B232"/>
      <c r="C232"/>
      <c r="D232"/>
      <c r="E232"/>
      <c r="F232"/>
      <c r="G232"/>
      <c r="H232"/>
      <c r="I232"/>
      <c r="J232"/>
      <c r="K232"/>
    </row>
    <row r="233" spans="1:11" x14ac:dyDescent="0.25">
      <c r="A233"/>
      <c r="B233"/>
      <c r="C233"/>
      <c r="D233"/>
      <c r="E233"/>
      <c r="F233"/>
      <c r="G233"/>
      <c r="H233"/>
      <c r="I233"/>
      <c r="J233"/>
      <c r="K233"/>
    </row>
    <row r="234" spans="1:11" x14ac:dyDescent="0.25">
      <c r="A234"/>
      <c r="B234"/>
      <c r="C234"/>
      <c r="D234"/>
      <c r="E234"/>
      <c r="F234"/>
      <c r="G234"/>
      <c r="H234"/>
      <c r="I234"/>
      <c r="J234"/>
      <c r="K234"/>
    </row>
    <row r="235" spans="1:11" x14ac:dyDescent="0.25">
      <c r="A235"/>
      <c r="B235"/>
      <c r="C235"/>
      <c r="D235"/>
      <c r="E235"/>
      <c r="F235"/>
      <c r="G235"/>
      <c r="H235"/>
      <c r="I235"/>
      <c r="J235"/>
      <c r="K235"/>
    </row>
    <row r="236" spans="1:11" x14ac:dyDescent="0.25">
      <c r="A236"/>
      <c r="B236"/>
      <c r="C236"/>
      <c r="D236"/>
      <c r="E236"/>
      <c r="F236"/>
      <c r="G236"/>
      <c r="H236"/>
      <c r="I236"/>
      <c r="J236"/>
      <c r="K236"/>
    </row>
    <row r="237" spans="1:11" x14ac:dyDescent="0.25">
      <c r="A237"/>
      <c r="B237"/>
      <c r="C237"/>
      <c r="D237"/>
      <c r="E237"/>
      <c r="F237"/>
      <c r="G237"/>
      <c r="H237"/>
      <c r="I237"/>
      <c r="J237"/>
      <c r="K237"/>
    </row>
    <row r="238" spans="1:11" ht="13.8" thickBot="1" x14ac:dyDescent="0.3">
      <c r="A238"/>
      <c r="B238"/>
      <c r="C238"/>
      <c r="D238"/>
      <c r="E238"/>
      <c r="F238"/>
      <c r="G238"/>
      <c r="H238"/>
      <c r="I238"/>
      <c r="J238"/>
      <c r="K238"/>
    </row>
    <row r="239" spans="1:11" ht="13.8" thickTop="1" x14ac:dyDescent="0.25">
      <c r="A239"/>
      <c r="B239"/>
      <c r="C239"/>
      <c r="D239"/>
      <c r="E239"/>
      <c r="F239"/>
      <c r="G239"/>
      <c r="H239"/>
      <c r="I239"/>
      <c r="J239"/>
      <c r="K239"/>
    </row>
    <row r="240" spans="1:11" x14ac:dyDescent="0.25">
      <c r="A240"/>
      <c r="B240"/>
      <c r="C240"/>
      <c r="D240"/>
      <c r="E240"/>
      <c r="F240"/>
      <c r="G240"/>
      <c r="H240"/>
      <c r="I240"/>
      <c r="J240"/>
      <c r="K240"/>
    </row>
    <row r="241" spans="1:11" x14ac:dyDescent="0.25">
      <c r="A241"/>
      <c r="B241"/>
      <c r="C241"/>
      <c r="D241"/>
      <c r="E241"/>
      <c r="F241"/>
      <c r="G241"/>
      <c r="H241"/>
      <c r="I241"/>
      <c r="J241"/>
      <c r="K241"/>
    </row>
    <row r="242" spans="1:11" ht="13.8" thickBot="1" x14ac:dyDescent="0.3">
      <c r="A242"/>
      <c r="B242"/>
      <c r="C242"/>
      <c r="D242"/>
      <c r="E242"/>
      <c r="F242"/>
      <c r="G242"/>
      <c r="H242"/>
      <c r="I242"/>
      <c r="J242"/>
      <c r="K242"/>
    </row>
    <row r="243" spans="1:11" ht="14.4" thickTop="1" thickBot="1" x14ac:dyDescent="0.3">
      <c r="A243"/>
      <c r="B243"/>
      <c r="C243"/>
      <c r="D243"/>
      <c r="E243"/>
      <c r="F243"/>
      <c r="G243"/>
      <c r="H243"/>
      <c r="I243"/>
      <c r="J243"/>
      <c r="K243"/>
    </row>
    <row r="244" spans="1:11" ht="13.8" thickTop="1" x14ac:dyDescent="0.25">
      <c r="A244"/>
      <c r="B244"/>
      <c r="C244"/>
      <c r="D244"/>
      <c r="E244"/>
      <c r="F244"/>
      <c r="G244"/>
      <c r="H244"/>
      <c r="I244"/>
      <c r="J244"/>
      <c r="K244"/>
    </row>
    <row r="245" spans="1:11" ht="13.8" thickTop="1" x14ac:dyDescent="0.25">
      <c r="A245"/>
      <c r="B245"/>
      <c r="C245"/>
      <c r="D245"/>
      <c r="E245"/>
      <c r="F245"/>
      <c r="G245"/>
      <c r="H245"/>
      <c r="I245"/>
      <c r="J245"/>
      <c r="K245"/>
    </row>
    <row r="246" spans="1:11" x14ac:dyDescent="0.25">
      <c r="A246"/>
      <c r="B246"/>
      <c r="C246"/>
      <c r="D246"/>
      <c r="E246"/>
      <c r="F246"/>
      <c r="G246"/>
      <c r="H246"/>
      <c r="I246"/>
      <c r="J246"/>
      <c r="K246"/>
    </row>
    <row r="247" spans="1:11" x14ac:dyDescent="0.25">
      <c r="A247"/>
      <c r="B247"/>
      <c r="C247"/>
      <c r="D247"/>
      <c r="E247"/>
      <c r="F247"/>
      <c r="G247"/>
      <c r="H247"/>
      <c r="I247"/>
      <c r="J247"/>
      <c r="K247"/>
    </row>
    <row r="248" spans="1:11" x14ac:dyDescent="0.25">
      <c r="A248"/>
      <c r="B248"/>
      <c r="C248"/>
      <c r="D248"/>
      <c r="E248"/>
      <c r="F248"/>
      <c r="G248"/>
      <c r="H248"/>
      <c r="I248"/>
      <c r="J248"/>
      <c r="K248"/>
    </row>
    <row r="249" spans="1:11" x14ac:dyDescent="0.25">
      <c r="A249"/>
      <c r="B249"/>
      <c r="C249"/>
      <c r="D249"/>
      <c r="E249"/>
      <c r="F249"/>
      <c r="G249"/>
      <c r="H249"/>
      <c r="I249"/>
      <c r="J249"/>
      <c r="K249"/>
    </row>
    <row r="250" spans="1:11" x14ac:dyDescent="0.25">
      <c r="A250"/>
      <c r="B250"/>
      <c r="C250"/>
      <c r="D250"/>
      <c r="E250"/>
      <c r="F250"/>
      <c r="G250"/>
      <c r="H250"/>
      <c r="I250"/>
      <c r="J250"/>
      <c r="K250"/>
    </row>
    <row r="251" spans="1:11" x14ac:dyDescent="0.25">
      <c r="A251"/>
      <c r="B251"/>
      <c r="C251"/>
      <c r="D251"/>
      <c r="E251"/>
      <c r="F251"/>
      <c r="G251"/>
      <c r="H251"/>
      <c r="I251"/>
      <c r="J251"/>
      <c r="K251"/>
    </row>
    <row r="252" spans="1:11" ht="13.8" thickBot="1" x14ac:dyDescent="0.3">
      <c r="A252"/>
      <c r="B252"/>
      <c r="C252"/>
      <c r="D252"/>
      <c r="E252"/>
      <c r="F252"/>
      <c r="G252"/>
      <c r="H252"/>
      <c r="I252"/>
      <c r="J252"/>
      <c r="K252"/>
    </row>
    <row r="253" spans="1:11" ht="14.4" thickTop="1" thickBot="1" x14ac:dyDescent="0.3">
      <c r="A253"/>
      <c r="B253"/>
      <c r="C253"/>
      <c r="D253"/>
      <c r="E253"/>
      <c r="F253"/>
      <c r="G253"/>
      <c r="H253"/>
      <c r="I253"/>
      <c r="J253"/>
      <c r="K253"/>
    </row>
    <row r="254" spans="1:11" ht="13.8" thickTop="1" x14ac:dyDescent="0.25">
      <c r="A254"/>
      <c r="B254"/>
      <c r="C254"/>
      <c r="D254"/>
      <c r="E254"/>
      <c r="F254"/>
      <c r="G254"/>
      <c r="H254"/>
      <c r="I254"/>
      <c r="J254"/>
      <c r="K254"/>
    </row>
    <row r="255" spans="1:11" ht="14.4" thickTop="1" thickBot="1" x14ac:dyDescent="0.3">
      <c r="A255"/>
      <c r="B255"/>
      <c r="C255"/>
      <c r="D255"/>
      <c r="E255"/>
      <c r="F255"/>
      <c r="G255"/>
      <c r="H255"/>
      <c r="I255"/>
      <c r="J255"/>
      <c r="K255"/>
    </row>
    <row r="256" spans="1:11" ht="13.8" thickTop="1" x14ac:dyDescent="0.25">
      <c r="A256"/>
      <c r="B256"/>
      <c r="C256"/>
      <c r="D256"/>
      <c r="E256"/>
      <c r="F256"/>
      <c r="G256"/>
      <c r="H256"/>
      <c r="I256"/>
      <c r="J256"/>
      <c r="K256"/>
    </row>
    <row r="257" spans="1:11" ht="14.4" thickTop="1" thickBot="1" x14ac:dyDescent="0.3">
      <c r="A257"/>
      <c r="B257"/>
      <c r="C257"/>
      <c r="D257"/>
      <c r="E257"/>
      <c r="F257"/>
      <c r="G257"/>
      <c r="H257"/>
      <c r="I257"/>
      <c r="J257"/>
      <c r="K257"/>
    </row>
    <row r="258" spans="1:11" ht="13.8" thickTop="1" x14ac:dyDescent="0.25">
      <c r="A258"/>
      <c r="B258"/>
      <c r="C258"/>
      <c r="D258"/>
      <c r="E258"/>
      <c r="F258"/>
      <c r="G258"/>
      <c r="H258"/>
      <c r="I258"/>
      <c r="J258"/>
      <c r="K258"/>
    </row>
    <row r="259" spans="1:11" x14ac:dyDescent="0.25">
      <c r="A259"/>
      <c r="B259"/>
      <c r="C259"/>
      <c r="D259"/>
      <c r="E259"/>
      <c r="F259"/>
      <c r="G259"/>
      <c r="H259"/>
      <c r="I259"/>
      <c r="J259"/>
      <c r="K259"/>
    </row>
    <row r="260" spans="1:11" x14ac:dyDescent="0.25">
      <c r="A260"/>
      <c r="B260"/>
      <c r="C260"/>
      <c r="D260"/>
      <c r="E260"/>
      <c r="F260"/>
      <c r="G260"/>
      <c r="H260"/>
      <c r="I260"/>
      <c r="J260"/>
      <c r="K260"/>
    </row>
    <row r="261" spans="1:11" x14ac:dyDescent="0.25">
      <c r="A261"/>
      <c r="B261"/>
      <c r="C261"/>
      <c r="D261"/>
      <c r="E261"/>
      <c r="F261"/>
      <c r="G261"/>
      <c r="H261"/>
      <c r="I261"/>
      <c r="J261"/>
      <c r="K261"/>
    </row>
    <row r="262" spans="1:11" x14ac:dyDescent="0.25">
      <c r="A262"/>
      <c r="B262"/>
      <c r="C262"/>
      <c r="D262"/>
      <c r="E262"/>
      <c r="F262"/>
      <c r="G262"/>
      <c r="H262"/>
      <c r="I262"/>
      <c r="J262"/>
      <c r="K262"/>
    </row>
    <row r="263" spans="1:11" x14ac:dyDescent="0.25">
      <c r="A263"/>
      <c r="B263"/>
      <c r="C263"/>
      <c r="D263"/>
      <c r="E263"/>
      <c r="F263"/>
      <c r="G263"/>
      <c r="H263"/>
      <c r="I263"/>
      <c r="J263"/>
      <c r="K263"/>
    </row>
    <row r="264" spans="1:11" x14ac:dyDescent="0.25">
      <c r="A264"/>
      <c r="B264"/>
      <c r="C264"/>
      <c r="D264"/>
      <c r="E264"/>
      <c r="F264"/>
      <c r="G264"/>
      <c r="H264"/>
      <c r="I264"/>
      <c r="J264"/>
      <c r="K264"/>
    </row>
    <row r="265" spans="1:11" x14ac:dyDescent="0.25">
      <c r="A265"/>
      <c r="B265"/>
      <c r="C265"/>
      <c r="D265"/>
      <c r="E265"/>
      <c r="F265"/>
      <c r="G265"/>
      <c r="H265"/>
      <c r="I265"/>
      <c r="J265"/>
      <c r="K265"/>
    </row>
    <row r="266" spans="1:11" x14ac:dyDescent="0.25">
      <c r="A266"/>
      <c r="B266"/>
      <c r="C266"/>
      <c r="D266"/>
      <c r="E266"/>
      <c r="F266"/>
      <c r="G266"/>
      <c r="H266"/>
      <c r="I266"/>
      <c r="J266"/>
      <c r="K266"/>
    </row>
    <row r="267" spans="1:11" ht="13.8" thickBot="1" x14ac:dyDescent="0.3">
      <c r="A267"/>
      <c r="B267"/>
      <c r="C267"/>
      <c r="D267"/>
      <c r="E267"/>
      <c r="F267"/>
      <c r="G267"/>
      <c r="H267"/>
      <c r="I267"/>
      <c r="J267"/>
      <c r="K267"/>
    </row>
    <row r="268" spans="1:11" ht="14.4" thickTop="1" thickBot="1" x14ac:dyDescent="0.3">
      <c r="A268"/>
      <c r="B268"/>
      <c r="C268"/>
      <c r="D268"/>
      <c r="E268"/>
      <c r="F268"/>
      <c r="G268"/>
      <c r="H268"/>
      <c r="I268"/>
      <c r="J268"/>
      <c r="K268"/>
    </row>
    <row r="269" spans="1:11" ht="13.8" thickTop="1" x14ac:dyDescent="0.25">
      <c r="A269"/>
      <c r="B269"/>
      <c r="C269"/>
      <c r="D269"/>
      <c r="E269"/>
      <c r="F269"/>
      <c r="G269"/>
      <c r="H269"/>
      <c r="I269"/>
      <c r="J269"/>
      <c r="K269"/>
    </row>
    <row r="270" spans="1:11" x14ac:dyDescent="0.25">
      <c r="A270"/>
      <c r="B270"/>
      <c r="C270"/>
      <c r="D270"/>
      <c r="E270"/>
      <c r="F270"/>
      <c r="G270"/>
      <c r="H270"/>
      <c r="I270"/>
      <c r="J270"/>
      <c r="K270"/>
    </row>
    <row r="271" spans="1:11" x14ac:dyDescent="0.25">
      <c r="A271"/>
      <c r="B271"/>
      <c r="C271"/>
      <c r="D271"/>
      <c r="E271"/>
      <c r="F271"/>
      <c r="G271"/>
      <c r="H271"/>
      <c r="I271"/>
      <c r="J271"/>
      <c r="K271"/>
    </row>
    <row r="272" spans="1:11" x14ac:dyDescent="0.25">
      <c r="A272"/>
      <c r="B272"/>
      <c r="C272"/>
      <c r="D272"/>
      <c r="E272"/>
      <c r="F272"/>
      <c r="G272"/>
      <c r="H272"/>
      <c r="I272"/>
      <c r="J272"/>
      <c r="K272"/>
    </row>
    <row r="273" spans="1:11" x14ac:dyDescent="0.25">
      <c r="A273"/>
      <c r="B273"/>
      <c r="C273"/>
      <c r="D273"/>
      <c r="E273"/>
      <c r="F273"/>
      <c r="G273"/>
      <c r="H273"/>
      <c r="I273"/>
      <c r="J273"/>
      <c r="K273"/>
    </row>
    <row r="274" spans="1:11" x14ac:dyDescent="0.25">
      <c r="A274"/>
      <c r="B274"/>
      <c r="C274"/>
      <c r="D274"/>
      <c r="E274"/>
      <c r="F274"/>
      <c r="G274"/>
      <c r="H274"/>
      <c r="I274"/>
      <c r="J274"/>
      <c r="K274"/>
    </row>
    <row r="275" spans="1:11" x14ac:dyDescent="0.25">
      <c r="A275"/>
      <c r="B275"/>
      <c r="C275"/>
      <c r="D275"/>
      <c r="E275"/>
      <c r="F275"/>
      <c r="G275"/>
      <c r="H275"/>
      <c r="I275"/>
      <c r="J275"/>
      <c r="K275"/>
    </row>
    <row r="276" spans="1:11" x14ac:dyDescent="0.25">
      <c r="A276"/>
      <c r="B276"/>
      <c r="C276"/>
      <c r="D276"/>
      <c r="E276"/>
      <c r="F276"/>
      <c r="G276"/>
      <c r="H276"/>
      <c r="I276"/>
      <c r="J276"/>
      <c r="K276"/>
    </row>
    <row r="277" spans="1:11" x14ac:dyDescent="0.25">
      <c r="A277"/>
      <c r="B277"/>
      <c r="C277"/>
      <c r="D277"/>
      <c r="E277"/>
      <c r="F277"/>
      <c r="G277"/>
      <c r="H277"/>
      <c r="I277"/>
      <c r="J277"/>
      <c r="K277"/>
    </row>
    <row r="278" spans="1:11" x14ac:dyDescent="0.25">
      <c r="A278"/>
      <c r="B278"/>
      <c r="C278"/>
      <c r="D278"/>
      <c r="E278"/>
      <c r="F278"/>
      <c r="G278"/>
      <c r="H278"/>
      <c r="I278"/>
      <c r="J278"/>
      <c r="K278"/>
    </row>
    <row r="279" spans="1:11" x14ac:dyDescent="0.25">
      <c r="A279"/>
      <c r="B279"/>
      <c r="C279"/>
      <c r="D279"/>
      <c r="E279"/>
      <c r="F279"/>
      <c r="G279"/>
      <c r="H279"/>
      <c r="I279"/>
      <c r="J279"/>
      <c r="K279"/>
    </row>
    <row r="280" spans="1:11" x14ac:dyDescent="0.25">
      <c r="A280"/>
      <c r="B280"/>
      <c r="C280"/>
      <c r="D280"/>
      <c r="E280"/>
      <c r="F280"/>
      <c r="G280"/>
      <c r="H280"/>
      <c r="I280"/>
      <c r="J280"/>
      <c r="K280"/>
    </row>
    <row r="281" spans="1:11" x14ac:dyDescent="0.25">
      <c r="A281"/>
      <c r="B281"/>
      <c r="C281"/>
      <c r="D281"/>
      <c r="E281"/>
      <c r="F281"/>
      <c r="G281"/>
      <c r="H281"/>
      <c r="I281"/>
      <c r="J281"/>
      <c r="K281"/>
    </row>
    <row r="282" spans="1:11" x14ac:dyDescent="0.25">
      <c r="A282"/>
      <c r="B282"/>
      <c r="C282"/>
      <c r="D282"/>
      <c r="E282"/>
      <c r="F282"/>
      <c r="G282"/>
      <c r="H282"/>
      <c r="I282"/>
      <c r="J282"/>
      <c r="K282"/>
    </row>
    <row r="283" spans="1:11" x14ac:dyDescent="0.25">
      <c r="A283"/>
      <c r="B283"/>
      <c r="C283"/>
      <c r="D283"/>
      <c r="E283"/>
      <c r="F283"/>
      <c r="G283"/>
      <c r="H283"/>
      <c r="I283"/>
      <c r="J283"/>
      <c r="K283"/>
    </row>
    <row r="284" spans="1:11" x14ac:dyDescent="0.25">
      <c r="A284"/>
      <c r="B284"/>
      <c r="C284"/>
      <c r="D284"/>
      <c r="E284"/>
      <c r="F284"/>
      <c r="G284"/>
      <c r="H284"/>
      <c r="I284"/>
      <c r="J284"/>
      <c r="K284"/>
    </row>
    <row r="285" spans="1:11" x14ac:dyDescent="0.25">
      <c r="A285"/>
      <c r="B285"/>
      <c r="C285"/>
      <c r="D285"/>
      <c r="E285"/>
      <c r="F285"/>
      <c r="G285"/>
      <c r="H285"/>
      <c r="I285"/>
      <c r="J285"/>
      <c r="K285"/>
    </row>
    <row r="286" spans="1:11" x14ac:dyDescent="0.25">
      <c r="A286"/>
      <c r="B286"/>
      <c r="C286"/>
      <c r="D286"/>
      <c r="E286"/>
      <c r="F286"/>
      <c r="G286"/>
      <c r="H286"/>
      <c r="I286"/>
      <c r="J286"/>
      <c r="K286"/>
    </row>
    <row r="287" spans="1:11" x14ac:dyDescent="0.25">
      <c r="A287"/>
      <c r="B287"/>
      <c r="C287"/>
      <c r="D287"/>
      <c r="E287"/>
      <c r="F287"/>
      <c r="G287"/>
      <c r="H287"/>
      <c r="I287"/>
      <c r="J287"/>
      <c r="K287"/>
    </row>
    <row r="288" spans="1:11" x14ac:dyDescent="0.25">
      <c r="A288"/>
      <c r="B288"/>
      <c r="C288"/>
      <c r="D288"/>
      <c r="E288"/>
      <c r="F288"/>
      <c r="G288"/>
      <c r="H288"/>
      <c r="I288"/>
      <c r="J288"/>
      <c r="K288"/>
    </row>
    <row r="289" spans="1:11" x14ac:dyDescent="0.25">
      <c r="A289"/>
      <c r="B289"/>
      <c r="C289"/>
      <c r="D289"/>
      <c r="E289"/>
      <c r="F289"/>
      <c r="G289"/>
      <c r="H289"/>
      <c r="I289"/>
      <c r="J289"/>
      <c r="K289"/>
    </row>
    <row r="290" spans="1:11" x14ac:dyDescent="0.25">
      <c r="A290"/>
      <c r="B290"/>
      <c r="C290"/>
      <c r="D290"/>
      <c r="E290"/>
      <c r="F290"/>
      <c r="G290"/>
      <c r="H290"/>
      <c r="I290"/>
      <c r="J290"/>
      <c r="K290"/>
    </row>
    <row r="291" spans="1:11" x14ac:dyDescent="0.25">
      <c r="A291"/>
      <c r="B291"/>
      <c r="C291"/>
      <c r="D291"/>
      <c r="E291"/>
      <c r="F291"/>
      <c r="G291"/>
      <c r="H291"/>
      <c r="I291"/>
      <c r="J291"/>
      <c r="K291"/>
    </row>
    <row r="292" spans="1:11" x14ac:dyDescent="0.25">
      <c r="A292"/>
      <c r="B292"/>
      <c r="C292"/>
      <c r="D292"/>
      <c r="E292"/>
      <c r="F292"/>
      <c r="G292"/>
      <c r="H292"/>
      <c r="I292"/>
      <c r="J292"/>
      <c r="K292"/>
    </row>
    <row r="293" spans="1:11" x14ac:dyDescent="0.25">
      <c r="A293"/>
      <c r="B293"/>
      <c r="C293"/>
      <c r="D293"/>
      <c r="E293"/>
      <c r="F293"/>
      <c r="G293"/>
      <c r="H293"/>
      <c r="I293"/>
      <c r="J293"/>
      <c r="K293"/>
    </row>
    <row r="294" spans="1:11" x14ac:dyDescent="0.25">
      <c r="A294"/>
      <c r="B294"/>
      <c r="C294"/>
      <c r="D294"/>
      <c r="E294"/>
      <c r="F294"/>
      <c r="G294"/>
      <c r="H294"/>
      <c r="I294"/>
      <c r="J294"/>
      <c r="K294"/>
    </row>
    <row r="295" spans="1:11" x14ac:dyDescent="0.25">
      <c r="A295"/>
      <c r="B295"/>
      <c r="C295"/>
      <c r="D295"/>
      <c r="E295"/>
      <c r="F295"/>
      <c r="G295"/>
      <c r="H295"/>
      <c r="I295"/>
      <c r="J295"/>
      <c r="K295"/>
    </row>
    <row r="296" spans="1:11" x14ac:dyDescent="0.25">
      <c r="A296"/>
      <c r="B296"/>
      <c r="C296"/>
      <c r="D296"/>
      <c r="E296"/>
      <c r="F296"/>
      <c r="G296"/>
      <c r="H296"/>
      <c r="I296"/>
      <c r="J296"/>
      <c r="K296"/>
    </row>
    <row r="297" spans="1:11" x14ac:dyDescent="0.25">
      <c r="A297"/>
      <c r="B297"/>
      <c r="C297"/>
      <c r="D297"/>
      <c r="E297"/>
      <c r="F297"/>
      <c r="G297"/>
      <c r="H297"/>
      <c r="I297"/>
      <c r="J297"/>
      <c r="K297"/>
    </row>
    <row r="298" spans="1:11" x14ac:dyDescent="0.25">
      <c r="A298"/>
      <c r="B298"/>
      <c r="C298"/>
      <c r="D298"/>
      <c r="E298"/>
      <c r="F298"/>
      <c r="G298"/>
      <c r="H298"/>
      <c r="I298"/>
      <c r="J298"/>
      <c r="K298"/>
    </row>
    <row r="299" spans="1:11" x14ac:dyDescent="0.25">
      <c r="A299"/>
      <c r="B299"/>
      <c r="C299"/>
      <c r="D299"/>
      <c r="E299"/>
      <c r="F299"/>
      <c r="G299"/>
      <c r="H299"/>
      <c r="I299"/>
      <c r="J299"/>
      <c r="K299"/>
    </row>
    <row r="300" spans="1:11" x14ac:dyDescent="0.25">
      <c r="A300"/>
      <c r="B300"/>
      <c r="C300"/>
      <c r="D300"/>
      <c r="E300"/>
      <c r="F300"/>
      <c r="G300"/>
      <c r="H300"/>
      <c r="I300"/>
      <c r="J300"/>
      <c r="K300"/>
    </row>
    <row r="301" spans="1:11" x14ac:dyDescent="0.25">
      <c r="A301"/>
      <c r="B301"/>
      <c r="C301"/>
      <c r="D301"/>
      <c r="E301"/>
      <c r="F301"/>
      <c r="G301"/>
      <c r="H301"/>
      <c r="I301"/>
      <c r="J301"/>
      <c r="K301"/>
    </row>
    <row r="302" spans="1:11" x14ac:dyDescent="0.25">
      <c r="A302"/>
      <c r="B302"/>
      <c r="C302"/>
      <c r="D302"/>
      <c r="E302"/>
      <c r="F302"/>
      <c r="G302"/>
      <c r="H302"/>
      <c r="I302"/>
      <c r="J302"/>
      <c r="K302"/>
    </row>
    <row r="303" spans="1:11" x14ac:dyDescent="0.25">
      <c r="A303"/>
      <c r="B303"/>
      <c r="C303"/>
      <c r="D303"/>
      <c r="E303"/>
      <c r="F303"/>
      <c r="G303"/>
      <c r="H303"/>
      <c r="I303"/>
      <c r="J303"/>
      <c r="K303"/>
    </row>
    <row r="304" spans="1:11" x14ac:dyDescent="0.25">
      <c r="A304"/>
      <c r="B304"/>
      <c r="C304"/>
      <c r="D304"/>
      <c r="E304"/>
      <c r="F304"/>
      <c r="G304"/>
      <c r="H304"/>
      <c r="I304"/>
      <c r="J304"/>
      <c r="K304"/>
    </row>
    <row r="305" spans="1:11" x14ac:dyDescent="0.25">
      <c r="A305"/>
      <c r="B305"/>
      <c r="C305"/>
      <c r="D305"/>
      <c r="E305"/>
      <c r="F305"/>
      <c r="G305"/>
      <c r="H305"/>
      <c r="I305"/>
      <c r="J305"/>
      <c r="K305"/>
    </row>
    <row r="306" spans="1:11" x14ac:dyDescent="0.25">
      <c r="A306"/>
      <c r="B306"/>
      <c r="C306"/>
      <c r="D306"/>
      <c r="E306"/>
      <c r="F306"/>
      <c r="G306"/>
      <c r="H306"/>
      <c r="I306"/>
      <c r="J306"/>
      <c r="K306"/>
    </row>
    <row r="307" spans="1:11" x14ac:dyDescent="0.25">
      <c r="A307"/>
      <c r="B307"/>
      <c r="C307"/>
      <c r="D307"/>
      <c r="E307"/>
      <c r="F307"/>
      <c r="G307"/>
      <c r="H307"/>
      <c r="I307"/>
      <c r="J307"/>
      <c r="K307"/>
    </row>
    <row r="308" spans="1:11" x14ac:dyDescent="0.25">
      <c r="A308"/>
      <c r="B308"/>
      <c r="C308"/>
      <c r="D308"/>
      <c r="E308"/>
      <c r="F308"/>
      <c r="G308"/>
      <c r="H308"/>
      <c r="I308"/>
      <c r="J308"/>
      <c r="K308"/>
    </row>
    <row r="309" spans="1:11" x14ac:dyDescent="0.25">
      <c r="A309"/>
      <c r="B309"/>
      <c r="C309"/>
      <c r="D309"/>
      <c r="E309"/>
      <c r="F309"/>
      <c r="G309"/>
      <c r="H309"/>
      <c r="I309"/>
      <c r="J309"/>
      <c r="K309"/>
    </row>
    <row r="310" spans="1:11" x14ac:dyDescent="0.25">
      <c r="A310"/>
      <c r="B310"/>
      <c r="C310"/>
      <c r="D310"/>
      <c r="E310"/>
      <c r="F310"/>
      <c r="G310"/>
      <c r="H310"/>
      <c r="I310"/>
      <c r="J310"/>
      <c r="K310"/>
    </row>
    <row r="311" spans="1:11" x14ac:dyDescent="0.25">
      <c r="A311"/>
      <c r="B311"/>
      <c r="C311"/>
      <c r="D311"/>
      <c r="E311"/>
      <c r="F311"/>
      <c r="G311"/>
      <c r="H311"/>
      <c r="I311"/>
      <c r="J311"/>
      <c r="K311"/>
    </row>
    <row r="312" spans="1:11" x14ac:dyDescent="0.25">
      <c r="A312"/>
      <c r="B312"/>
      <c r="C312"/>
      <c r="D312"/>
      <c r="E312"/>
      <c r="F312"/>
      <c r="G312"/>
      <c r="H312"/>
      <c r="I312"/>
      <c r="J312"/>
      <c r="K312"/>
    </row>
    <row r="313" spans="1:11" x14ac:dyDescent="0.25">
      <c r="A313"/>
      <c r="B313"/>
      <c r="C313"/>
      <c r="D313"/>
      <c r="E313"/>
      <c r="F313"/>
      <c r="G313"/>
      <c r="H313"/>
      <c r="I313"/>
      <c r="J313"/>
      <c r="K313"/>
    </row>
    <row r="314" spans="1:11" x14ac:dyDescent="0.25">
      <c r="A314"/>
      <c r="B314"/>
      <c r="C314"/>
      <c r="D314"/>
      <c r="E314"/>
      <c r="F314"/>
      <c r="G314"/>
      <c r="H314"/>
      <c r="I314"/>
      <c r="J314"/>
      <c r="K314"/>
    </row>
    <row r="315" spans="1:11" x14ac:dyDescent="0.25">
      <c r="A315"/>
      <c r="B315"/>
      <c r="C315"/>
      <c r="D315"/>
      <c r="E315"/>
      <c r="F315"/>
      <c r="G315"/>
      <c r="H315"/>
      <c r="I315"/>
      <c r="J315"/>
      <c r="K315"/>
    </row>
    <row r="316" spans="1:11" x14ac:dyDescent="0.25">
      <c r="A316"/>
      <c r="B316"/>
      <c r="C316"/>
      <c r="D316"/>
      <c r="E316"/>
      <c r="F316"/>
      <c r="G316"/>
      <c r="H316"/>
      <c r="I316"/>
      <c r="J316"/>
      <c r="K316"/>
    </row>
    <row r="317" spans="1:11" x14ac:dyDescent="0.25">
      <c r="A317"/>
      <c r="B317"/>
      <c r="C317"/>
      <c r="D317"/>
      <c r="E317"/>
      <c r="F317"/>
      <c r="G317"/>
      <c r="H317"/>
      <c r="I317"/>
      <c r="J317"/>
      <c r="K317"/>
    </row>
    <row r="318" spans="1:11" x14ac:dyDescent="0.25">
      <c r="A318"/>
      <c r="B318"/>
      <c r="C318"/>
      <c r="D318"/>
      <c r="E318"/>
      <c r="F318"/>
      <c r="G318"/>
      <c r="H318"/>
      <c r="I318"/>
      <c r="J318"/>
      <c r="K318"/>
    </row>
    <row r="319" spans="1:11" x14ac:dyDescent="0.25">
      <c r="A319"/>
      <c r="B319"/>
      <c r="C319"/>
      <c r="D319"/>
      <c r="E319"/>
      <c r="F319"/>
      <c r="G319"/>
      <c r="H319"/>
      <c r="I319"/>
      <c r="J319"/>
      <c r="K319"/>
    </row>
    <row r="320" spans="1:11" x14ac:dyDescent="0.25">
      <c r="A320"/>
      <c r="B320"/>
      <c r="C320"/>
      <c r="D320"/>
      <c r="E320"/>
      <c r="F320"/>
      <c r="G320"/>
      <c r="H320"/>
      <c r="I320"/>
      <c r="J320"/>
      <c r="K320"/>
    </row>
    <row r="321" spans="1:11" x14ac:dyDescent="0.25">
      <c r="A321"/>
      <c r="B321"/>
      <c r="C321"/>
      <c r="D321"/>
      <c r="E321"/>
      <c r="F321"/>
      <c r="G321"/>
      <c r="H321"/>
      <c r="I321"/>
      <c r="J321"/>
      <c r="K321"/>
    </row>
    <row r="322" spans="1:11" x14ac:dyDescent="0.25">
      <c r="A322"/>
      <c r="B322"/>
      <c r="C322"/>
      <c r="D322"/>
      <c r="E322"/>
      <c r="F322"/>
      <c r="G322"/>
      <c r="H322"/>
      <c r="I322"/>
      <c r="J322"/>
      <c r="K322"/>
    </row>
    <row r="323" spans="1:11" x14ac:dyDescent="0.25">
      <c r="A323"/>
      <c r="B323"/>
      <c r="C323"/>
      <c r="D323"/>
      <c r="E323"/>
      <c r="F323"/>
      <c r="G323"/>
      <c r="H323"/>
      <c r="I323"/>
      <c r="J323"/>
      <c r="K323"/>
    </row>
    <row r="324" spans="1:11" x14ac:dyDescent="0.25">
      <c r="A324"/>
      <c r="B324"/>
      <c r="C324"/>
      <c r="D324"/>
      <c r="E324"/>
      <c r="F324"/>
      <c r="G324"/>
      <c r="H324"/>
      <c r="I324"/>
      <c r="J324"/>
      <c r="K324"/>
    </row>
    <row r="325" spans="1:11" x14ac:dyDescent="0.25">
      <c r="A325"/>
      <c r="B325"/>
      <c r="C325"/>
      <c r="D325"/>
      <c r="E325"/>
      <c r="F325"/>
      <c r="G325"/>
      <c r="H325"/>
      <c r="I325"/>
      <c r="J325"/>
      <c r="K325"/>
    </row>
    <row r="326" spans="1:11" x14ac:dyDescent="0.25">
      <c r="A326"/>
      <c r="B326"/>
      <c r="C326"/>
      <c r="D326"/>
      <c r="E326"/>
      <c r="F326"/>
      <c r="G326"/>
      <c r="H326"/>
      <c r="I326"/>
      <c r="J326"/>
      <c r="K326"/>
    </row>
    <row r="327" spans="1:11" x14ac:dyDescent="0.25">
      <c r="A327"/>
      <c r="B327"/>
      <c r="C327"/>
      <c r="D327"/>
      <c r="E327"/>
      <c r="F327"/>
      <c r="G327"/>
      <c r="H327"/>
      <c r="I327"/>
      <c r="J327"/>
      <c r="K327"/>
    </row>
    <row r="328" spans="1:11" x14ac:dyDescent="0.25">
      <c r="A328"/>
      <c r="B328"/>
      <c r="C328"/>
      <c r="D328"/>
      <c r="E328"/>
      <c r="F328"/>
      <c r="G328"/>
      <c r="H328"/>
      <c r="I328"/>
      <c r="J328"/>
      <c r="K328"/>
    </row>
    <row r="329" spans="1:11" x14ac:dyDescent="0.25">
      <c r="A329"/>
      <c r="B329"/>
      <c r="C329"/>
      <c r="D329"/>
      <c r="E329"/>
      <c r="F329"/>
      <c r="G329"/>
      <c r="H329"/>
      <c r="I329"/>
      <c r="J329"/>
      <c r="K329"/>
    </row>
    <row r="330" spans="1:11" x14ac:dyDescent="0.25">
      <c r="A330"/>
      <c r="B330"/>
      <c r="C330"/>
      <c r="D330"/>
      <c r="E330"/>
      <c r="F330"/>
      <c r="G330"/>
      <c r="H330"/>
      <c r="I330"/>
      <c r="J330"/>
      <c r="K330"/>
    </row>
    <row r="331" spans="1:11" x14ac:dyDescent="0.25">
      <c r="A331"/>
      <c r="B331"/>
      <c r="C331"/>
      <c r="D331"/>
      <c r="E331"/>
      <c r="F331"/>
      <c r="G331"/>
      <c r="H331"/>
      <c r="I331"/>
      <c r="J331"/>
      <c r="K331"/>
    </row>
    <row r="332" spans="1:11" x14ac:dyDescent="0.25">
      <c r="A332"/>
      <c r="B332"/>
      <c r="C332"/>
      <c r="D332"/>
      <c r="E332"/>
      <c r="F332"/>
      <c r="G332"/>
      <c r="H332"/>
      <c r="I332"/>
      <c r="J332"/>
      <c r="K332"/>
    </row>
    <row r="333" spans="1:11" x14ac:dyDescent="0.25">
      <c r="A333"/>
      <c r="B333"/>
      <c r="C333"/>
      <c r="D333"/>
      <c r="E333"/>
      <c r="F333"/>
      <c r="G333"/>
      <c r="H333"/>
      <c r="I333"/>
      <c r="J333"/>
      <c r="K333"/>
    </row>
    <row r="334" spans="1:11" x14ac:dyDescent="0.25">
      <c r="A334"/>
      <c r="B334"/>
      <c r="C334"/>
      <c r="D334"/>
      <c r="E334"/>
      <c r="F334"/>
      <c r="G334"/>
      <c r="H334"/>
      <c r="I334"/>
      <c r="J334"/>
      <c r="K334"/>
    </row>
    <row r="335" spans="1:11" x14ac:dyDescent="0.25">
      <c r="A335"/>
      <c r="B335"/>
      <c r="C335"/>
      <c r="D335"/>
      <c r="E335"/>
      <c r="F335"/>
      <c r="G335"/>
      <c r="H335"/>
      <c r="I335"/>
      <c r="J335"/>
      <c r="K335"/>
    </row>
    <row r="336" spans="1:11" x14ac:dyDescent="0.25">
      <c r="A336"/>
      <c r="B336"/>
      <c r="C336"/>
      <c r="D336"/>
      <c r="E336"/>
      <c r="F336"/>
      <c r="G336"/>
      <c r="H336"/>
      <c r="I336"/>
      <c r="J336"/>
      <c r="K336"/>
    </row>
    <row r="337" spans="1:11" x14ac:dyDescent="0.25">
      <c r="A337"/>
      <c r="B337"/>
      <c r="C337"/>
      <c r="D337"/>
      <c r="E337"/>
      <c r="F337"/>
      <c r="G337"/>
      <c r="H337"/>
      <c r="I337"/>
      <c r="J337"/>
      <c r="K337"/>
    </row>
    <row r="338" spans="1:11" x14ac:dyDescent="0.25">
      <c r="A338"/>
      <c r="B338"/>
      <c r="C338"/>
      <c r="D338"/>
      <c r="E338"/>
      <c r="F338"/>
      <c r="G338"/>
      <c r="H338"/>
      <c r="I338"/>
      <c r="J338"/>
      <c r="K338"/>
    </row>
    <row r="339" spans="1:11" x14ac:dyDescent="0.25">
      <c r="A339"/>
      <c r="B339"/>
      <c r="C339"/>
      <c r="D339"/>
      <c r="E339"/>
      <c r="F339"/>
      <c r="G339"/>
      <c r="H339"/>
      <c r="I339"/>
      <c r="J339"/>
      <c r="K339"/>
    </row>
    <row r="340" spans="1:11" x14ac:dyDescent="0.25">
      <c r="A340"/>
      <c r="B340"/>
      <c r="C340"/>
      <c r="D340"/>
      <c r="E340"/>
      <c r="F340"/>
      <c r="G340"/>
      <c r="H340"/>
      <c r="I340"/>
      <c r="J340"/>
      <c r="K340"/>
    </row>
    <row r="341" spans="1:11" x14ac:dyDescent="0.25">
      <c r="A341"/>
      <c r="B341"/>
      <c r="C341"/>
      <c r="D341"/>
      <c r="E341"/>
      <c r="F341"/>
      <c r="G341"/>
      <c r="H341"/>
      <c r="I341"/>
      <c r="J341"/>
      <c r="K341"/>
    </row>
    <row r="342" spans="1:11" x14ac:dyDescent="0.25">
      <c r="A342"/>
      <c r="B342"/>
      <c r="C342"/>
      <c r="D342"/>
      <c r="E342"/>
      <c r="F342"/>
      <c r="G342"/>
      <c r="H342"/>
      <c r="I342"/>
      <c r="J342"/>
      <c r="K342"/>
    </row>
    <row r="343" spans="1:11" x14ac:dyDescent="0.25">
      <c r="A343"/>
      <c r="B343"/>
      <c r="C343"/>
      <c r="D343"/>
      <c r="E343"/>
      <c r="F343"/>
      <c r="G343"/>
      <c r="H343"/>
      <c r="I343"/>
      <c r="J343"/>
      <c r="K343"/>
    </row>
    <row r="344" spans="1:11" x14ac:dyDescent="0.25">
      <c r="A344"/>
      <c r="B344"/>
      <c r="C344"/>
      <c r="D344"/>
      <c r="E344"/>
      <c r="F344"/>
      <c r="G344"/>
      <c r="H344"/>
      <c r="I344"/>
      <c r="J344"/>
      <c r="K344"/>
    </row>
    <row r="345" spans="1:11" x14ac:dyDescent="0.25">
      <c r="A345"/>
      <c r="B345"/>
      <c r="C345"/>
      <c r="D345"/>
      <c r="E345"/>
      <c r="F345"/>
      <c r="G345"/>
      <c r="H345"/>
      <c r="I345"/>
      <c r="J345"/>
      <c r="K345"/>
    </row>
    <row r="346" spans="1:11" x14ac:dyDescent="0.25">
      <c r="A346"/>
      <c r="B346"/>
      <c r="C346"/>
      <c r="D346"/>
      <c r="E346"/>
      <c r="F346"/>
      <c r="G346"/>
      <c r="H346"/>
      <c r="I346"/>
      <c r="J346"/>
      <c r="K346"/>
    </row>
    <row r="347" spans="1:11" x14ac:dyDescent="0.25">
      <c r="A347"/>
      <c r="B347"/>
      <c r="C347"/>
      <c r="D347"/>
      <c r="E347"/>
      <c r="F347"/>
      <c r="G347"/>
      <c r="H347"/>
      <c r="I347"/>
      <c r="J347"/>
      <c r="K347"/>
    </row>
    <row r="348" spans="1:11" x14ac:dyDescent="0.25">
      <c r="A348"/>
      <c r="B348"/>
      <c r="C348"/>
      <c r="D348"/>
      <c r="E348"/>
      <c r="F348"/>
      <c r="G348"/>
      <c r="H348"/>
      <c r="I348"/>
      <c r="J348"/>
      <c r="K348"/>
    </row>
    <row r="349" spans="1:11" ht="13.8" thickBot="1" x14ac:dyDescent="0.3">
      <c r="A349"/>
      <c r="B349"/>
      <c r="C349"/>
      <c r="D349"/>
      <c r="E349"/>
      <c r="F349"/>
      <c r="G349"/>
      <c r="H349"/>
      <c r="I349"/>
      <c r="J349"/>
      <c r="K349"/>
    </row>
    <row r="350" spans="1:11" ht="14.4" thickTop="1" thickBot="1" x14ac:dyDescent="0.3">
      <c r="A350"/>
      <c r="B350"/>
      <c r="C350"/>
      <c r="D350"/>
      <c r="E350"/>
      <c r="F350"/>
      <c r="G350"/>
      <c r="H350"/>
      <c r="I350"/>
      <c r="J350"/>
      <c r="K350"/>
    </row>
    <row r="351" spans="1:11" ht="13.8" thickTop="1" x14ac:dyDescent="0.25">
      <c r="A351"/>
      <c r="B351"/>
      <c r="C351"/>
      <c r="D351"/>
      <c r="E351"/>
      <c r="F351"/>
      <c r="G351"/>
      <c r="H351"/>
      <c r="I351"/>
      <c r="J351"/>
      <c r="K351"/>
    </row>
    <row r="352" spans="1:11" x14ac:dyDescent="0.25">
      <c r="A352"/>
      <c r="B352"/>
      <c r="C352"/>
      <c r="D352"/>
      <c r="E352"/>
      <c r="F352"/>
      <c r="G352"/>
      <c r="H352"/>
      <c r="I352"/>
      <c r="J352"/>
      <c r="K352"/>
    </row>
    <row r="353" spans="1:11" x14ac:dyDescent="0.25">
      <c r="A353"/>
      <c r="B353"/>
      <c r="C353"/>
      <c r="D353"/>
      <c r="E353"/>
      <c r="F353"/>
      <c r="G353"/>
      <c r="H353"/>
      <c r="I353"/>
      <c r="J353"/>
      <c r="K353"/>
    </row>
    <row r="354" spans="1:11" x14ac:dyDescent="0.25">
      <c r="A354"/>
      <c r="B354"/>
      <c r="C354"/>
      <c r="D354"/>
      <c r="E354"/>
      <c r="F354"/>
      <c r="G354"/>
      <c r="H354"/>
      <c r="I354"/>
      <c r="J354"/>
      <c r="K354"/>
    </row>
    <row r="355" spans="1:11" x14ac:dyDescent="0.25">
      <c r="A355"/>
      <c r="B355"/>
      <c r="C355"/>
      <c r="D355"/>
      <c r="E355"/>
      <c r="F355"/>
      <c r="G355"/>
      <c r="H355"/>
      <c r="I355"/>
      <c r="J355"/>
      <c r="K355"/>
    </row>
    <row r="356" spans="1:11" x14ac:dyDescent="0.25">
      <c r="A356"/>
      <c r="B356"/>
      <c r="C356"/>
      <c r="D356"/>
      <c r="E356"/>
      <c r="F356"/>
      <c r="G356"/>
      <c r="H356"/>
      <c r="I356"/>
      <c r="J356"/>
      <c r="K356"/>
    </row>
    <row r="357" spans="1:11" x14ac:dyDescent="0.25">
      <c r="A357"/>
      <c r="B357"/>
      <c r="C357"/>
      <c r="D357"/>
      <c r="E357"/>
      <c r="F357"/>
      <c r="G357"/>
      <c r="H357"/>
      <c r="I357"/>
      <c r="J357"/>
      <c r="K357"/>
    </row>
    <row r="358" spans="1:11" x14ac:dyDescent="0.25">
      <c r="A358"/>
      <c r="B358"/>
      <c r="C358"/>
      <c r="D358"/>
      <c r="E358"/>
      <c r="F358"/>
      <c r="G358"/>
      <c r="H358"/>
      <c r="I358"/>
      <c r="J358"/>
      <c r="K358"/>
    </row>
    <row r="359" spans="1:11" x14ac:dyDescent="0.25">
      <c r="A359"/>
      <c r="B359"/>
      <c r="C359"/>
      <c r="D359"/>
      <c r="E359"/>
      <c r="F359"/>
      <c r="G359"/>
      <c r="H359"/>
      <c r="I359"/>
      <c r="J359"/>
      <c r="K359"/>
    </row>
    <row r="360" spans="1:11" x14ac:dyDescent="0.25">
      <c r="A360"/>
      <c r="B360"/>
      <c r="C360"/>
      <c r="D360"/>
      <c r="E360"/>
      <c r="F360"/>
      <c r="G360"/>
      <c r="H360"/>
      <c r="I360"/>
      <c r="J360"/>
      <c r="K360"/>
    </row>
    <row r="361" spans="1:11" x14ac:dyDescent="0.25">
      <c r="A361"/>
      <c r="B361"/>
      <c r="C361"/>
      <c r="D361"/>
      <c r="E361"/>
      <c r="F361"/>
      <c r="G361"/>
      <c r="H361"/>
      <c r="I361"/>
      <c r="J361"/>
      <c r="K361"/>
    </row>
    <row r="362" spans="1:11" x14ac:dyDescent="0.25">
      <c r="A362"/>
      <c r="B362"/>
      <c r="C362"/>
      <c r="D362"/>
      <c r="E362"/>
      <c r="F362"/>
      <c r="G362"/>
      <c r="H362"/>
      <c r="I362"/>
      <c r="J362"/>
      <c r="K362"/>
    </row>
    <row r="363" spans="1:11" x14ac:dyDescent="0.25">
      <c r="A363"/>
      <c r="B363"/>
      <c r="C363"/>
      <c r="D363"/>
      <c r="E363"/>
      <c r="F363"/>
      <c r="G363"/>
      <c r="H363"/>
      <c r="I363"/>
      <c r="J363"/>
      <c r="K363"/>
    </row>
    <row r="364" spans="1:11" x14ac:dyDescent="0.25">
      <c r="A364"/>
      <c r="B364"/>
      <c r="C364"/>
      <c r="D364"/>
      <c r="E364"/>
      <c r="F364"/>
      <c r="G364"/>
      <c r="H364"/>
      <c r="I364"/>
      <c r="J364"/>
      <c r="K364"/>
    </row>
    <row r="365" spans="1:11" x14ac:dyDescent="0.25">
      <c r="A365"/>
      <c r="B365"/>
      <c r="C365"/>
      <c r="D365"/>
      <c r="E365"/>
      <c r="F365"/>
      <c r="G365"/>
      <c r="H365"/>
      <c r="I365"/>
      <c r="J365"/>
      <c r="K365"/>
    </row>
    <row r="366" spans="1:11" x14ac:dyDescent="0.25">
      <c r="A366"/>
      <c r="B366"/>
      <c r="C366"/>
      <c r="D366"/>
      <c r="E366"/>
      <c r="F366"/>
      <c r="G366"/>
      <c r="H366"/>
      <c r="I366"/>
      <c r="J366"/>
      <c r="K366"/>
    </row>
    <row r="367" spans="1:11" x14ac:dyDescent="0.25">
      <c r="A367"/>
      <c r="B367"/>
      <c r="C367"/>
      <c r="D367"/>
      <c r="E367"/>
      <c r="F367"/>
      <c r="G367"/>
      <c r="H367"/>
      <c r="I367"/>
      <c r="J367"/>
      <c r="K367"/>
    </row>
    <row r="368" spans="1:11" x14ac:dyDescent="0.25">
      <c r="A368"/>
      <c r="B368"/>
      <c r="C368"/>
      <c r="D368"/>
      <c r="E368"/>
      <c r="F368"/>
      <c r="G368"/>
      <c r="H368"/>
      <c r="I368"/>
      <c r="J368"/>
      <c r="K368"/>
    </row>
    <row r="369" spans="1:11" x14ac:dyDescent="0.25">
      <c r="A369"/>
      <c r="B369"/>
      <c r="C369"/>
      <c r="D369"/>
      <c r="E369"/>
      <c r="F369"/>
      <c r="G369"/>
      <c r="H369"/>
      <c r="I369"/>
      <c r="J369"/>
      <c r="K369"/>
    </row>
    <row r="370" spans="1:11" x14ac:dyDescent="0.25">
      <c r="A370"/>
      <c r="B370"/>
      <c r="C370"/>
      <c r="D370"/>
      <c r="E370"/>
      <c r="F370"/>
      <c r="G370"/>
      <c r="H370"/>
      <c r="I370"/>
      <c r="J370"/>
      <c r="K370"/>
    </row>
    <row r="371" spans="1:11" x14ac:dyDescent="0.25">
      <c r="A371"/>
      <c r="B371"/>
      <c r="C371"/>
      <c r="D371"/>
      <c r="E371"/>
      <c r="F371"/>
      <c r="G371"/>
      <c r="H371"/>
      <c r="I371"/>
      <c r="J371"/>
      <c r="K371"/>
    </row>
    <row r="372" spans="1:11" x14ac:dyDescent="0.25">
      <c r="A372"/>
      <c r="B372"/>
      <c r="C372"/>
      <c r="D372"/>
      <c r="E372"/>
      <c r="F372"/>
      <c r="G372"/>
      <c r="H372"/>
      <c r="I372"/>
      <c r="J372"/>
      <c r="K372"/>
    </row>
    <row r="373" spans="1:11" x14ac:dyDescent="0.25">
      <c r="A373"/>
      <c r="B373"/>
      <c r="C373"/>
      <c r="D373"/>
      <c r="E373"/>
      <c r="F373"/>
      <c r="G373"/>
      <c r="H373"/>
      <c r="I373"/>
      <c r="J373"/>
      <c r="K373"/>
    </row>
    <row r="374" spans="1:11" x14ac:dyDescent="0.25">
      <c r="A374"/>
      <c r="B374"/>
      <c r="C374"/>
      <c r="D374"/>
      <c r="E374"/>
      <c r="F374"/>
      <c r="G374"/>
      <c r="H374"/>
      <c r="I374"/>
      <c r="J374"/>
      <c r="K374"/>
    </row>
    <row r="375" spans="1:11" x14ac:dyDescent="0.25">
      <c r="A375"/>
      <c r="B375"/>
      <c r="C375"/>
      <c r="D375"/>
      <c r="E375"/>
      <c r="F375"/>
      <c r="G375"/>
      <c r="H375"/>
      <c r="I375"/>
      <c r="J375"/>
      <c r="K375"/>
    </row>
    <row r="376" spans="1:11" x14ac:dyDescent="0.25">
      <c r="A376"/>
      <c r="B376"/>
      <c r="C376"/>
      <c r="D376"/>
      <c r="E376"/>
      <c r="F376"/>
      <c r="G376"/>
      <c r="H376"/>
      <c r="I376"/>
      <c r="J376"/>
      <c r="K376"/>
    </row>
    <row r="377" spans="1:11" x14ac:dyDescent="0.25">
      <c r="A377"/>
      <c r="B377"/>
      <c r="C377"/>
      <c r="D377"/>
      <c r="E377"/>
      <c r="F377"/>
      <c r="G377"/>
      <c r="H377"/>
      <c r="I377"/>
      <c r="J377"/>
      <c r="K377"/>
    </row>
    <row r="378" spans="1:11" x14ac:dyDescent="0.25">
      <c r="A378"/>
      <c r="B378"/>
      <c r="C378"/>
      <c r="D378"/>
      <c r="E378"/>
      <c r="F378"/>
      <c r="G378"/>
      <c r="H378"/>
      <c r="I378"/>
      <c r="J378"/>
      <c r="K378"/>
    </row>
    <row r="379" spans="1:11" x14ac:dyDescent="0.25">
      <c r="A379"/>
      <c r="B379"/>
      <c r="C379"/>
      <c r="D379"/>
      <c r="E379"/>
      <c r="F379"/>
      <c r="G379"/>
      <c r="H379"/>
      <c r="I379"/>
      <c r="J379"/>
      <c r="K379"/>
    </row>
    <row r="380" spans="1:11" x14ac:dyDescent="0.25">
      <c r="A380"/>
      <c r="B380"/>
      <c r="C380"/>
      <c r="D380"/>
      <c r="E380"/>
      <c r="F380"/>
      <c r="G380"/>
      <c r="H380"/>
      <c r="I380"/>
      <c r="J380"/>
      <c r="K380"/>
    </row>
    <row r="381" spans="1:11" x14ac:dyDescent="0.25">
      <c r="A381"/>
      <c r="B381"/>
      <c r="C381"/>
      <c r="D381"/>
      <c r="E381"/>
      <c r="F381"/>
      <c r="G381"/>
      <c r="H381"/>
      <c r="I381"/>
      <c r="J381"/>
      <c r="K381"/>
    </row>
    <row r="382" spans="1:11" x14ac:dyDescent="0.25">
      <c r="A382"/>
      <c r="B382"/>
      <c r="C382"/>
      <c r="D382"/>
      <c r="E382"/>
      <c r="F382"/>
      <c r="G382"/>
      <c r="H382"/>
      <c r="I382"/>
      <c r="J382"/>
      <c r="K382"/>
    </row>
    <row r="383" spans="1:11" x14ac:dyDescent="0.25">
      <c r="A383"/>
      <c r="B383"/>
      <c r="C383"/>
      <c r="D383"/>
      <c r="E383"/>
      <c r="F383"/>
      <c r="G383"/>
      <c r="H383"/>
      <c r="I383"/>
      <c r="J383"/>
      <c r="K383"/>
    </row>
    <row r="384" spans="1:11" x14ac:dyDescent="0.25">
      <c r="A384"/>
      <c r="B384"/>
      <c r="C384"/>
      <c r="D384"/>
      <c r="E384"/>
      <c r="F384"/>
      <c r="G384"/>
      <c r="H384"/>
      <c r="I384"/>
      <c r="J384"/>
      <c r="K384"/>
    </row>
    <row r="385" spans="1:11" x14ac:dyDescent="0.25">
      <c r="A385"/>
      <c r="B385"/>
      <c r="C385"/>
      <c r="D385"/>
      <c r="E385"/>
      <c r="F385"/>
      <c r="G385"/>
      <c r="H385"/>
      <c r="I385"/>
      <c r="J385"/>
      <c r="K385"/>
    </row>
    <row r="386" spans="1:11" x14ac:dyDescent="0.25">
      <c r="A386"/>
      <c r="B386"/>
      <c r="C386"/>
      <c r="D386"/>
      <c r="E386"/>
      <c r="F386"/>
      <c r="G386"/>
      <c r="H386"/>
      <c r="I386"/>
      <c r="J386"/>
      <c r="K386"/>
    </row>
    <row r="387" spans="1:11" x14ac:dyDescent="0.25">
      <c r="A387"/>
      <c r="B387"/>
      <c r="C387"/>
      <c r="D387"/>
      <c r="E387"/>
      <c r="F387"/>
      <c r="G387"/>
      <c r="H387"/>
      <c r="I387"/>
      <c r="J387"/>
      <c r="K387"/>
    </row>
    <row r="388" spans="1:11" x14ac:dyDescent="0.25">
      <c r="A388"/>
      <c r="B388"/>
      <c r="C388"/>
      <c r="D388"/>
      <c r="E388"/>
      <c r="F388"/>
      <c r="G388"/>
      <c r="H388"/>
      <c r="I388"/>
      <c r="J388"/>
      <c r="K388"/>
    </row>
    <row r="389" spans="1:11" x14ac:dyDescent="0.25">
      <c r="A389"/>
      <c r="B389"/>
      <c r="C389"/>
      <c r="D389"/>
      <c r="E389"/>
      <c r="F389"/>
      <c r="G389"/>
      <c r="H389"/>
      <c r="I389"/>
      <c r="J389"/>
      <c r="K389"/>
    </row>
    <row r="390" spans="1:11" x14ac:dyDescent="0.25">
      <c r="A390"/>
      <c r="B390"/>
      <c r="C390"/>
      <c r="D390"/>
      <c r="E390"/>
      <c r="F390"/>
      <c r="G390"/>
      <c r="H390"/>
      <c r="I390"/>
      <c r="J390"/>
      <c r="K390"/>
    </row>
    <row r="391" spans="1:11" x14ac:dyDescent="0.25">
      <c r="A391"/>
      <c r="B391"/>
      <c r="C391"/>
      <c r="D391"/>
      <c r="E391"/>
      <c r="F391"/>
      <c r="G391"/>
      <c r="H391"/>
      <c r="I391"/>
      <c r="J391"/>
      <c r="K391"/>
    </row>
    <row r="392" spans="1:11" x14ac:dyDescent="0.25">
      <c r="A392"/>
      <c r="B392"/>
      <c r="C392"/>
      <c r="D392"/>
      <c r="E392"/>
      <c r="F392"/>
      <c r="G392"/>
      <c r="H392"/>
      <c r="I392"/>
      <c r="J392"/>
      <c r="K392"/>
    </row>
    <row r="393" spans="1:11" x14ac:dyDescent="0.25">
      <c r="A393"/>
      <c r="B393"/>
      <c r="C393"/>
      <c r="D393"/>
      <c r="E393"/>
      <c r="F393"/>
      <c r="G393"/>
      <c r="H393"/>
      <c r="I393"/>
      <c r="J393"/>
      <c r="K393"/>
    </row>
    <row r="394" spans="1:11" x14ac:dyDescent="0.25">
      <c r="A394"/>
      <c r="B394"/>
      <c r="C394"/>
      <c r="D394"/>
      <c r="E394"/>
      <c r="F394"/>
      <c r="G394"/>
      <c r="H394"/>
      <c r="I394"/>
      <c r="J394"/>
      <c r="K394"/>
    </row>
    <row r="395" spans="1:11" x14ac:dyDescent="0.25">
      <c r="A395"/>
      <c r="B395"/>
      <c r="C395"/>
      <c r="D395"/>
      <c r="E395"/>
      <c r="F395"/>
      <c r="G395"/>
      <c r="H395"/>
      <c r="I395"/>
      <c r="J395"/>
      <c r="K395"/>
    </row>
    <row r="396" spans="1:11" x14ac:dyDescent="0.25">
      <c r="A396"/>
      <c r="B396"/>
      <c r="C396"/>
      <c r="D396"/>
      <c r="E396"/>
      <c r="F396"/>
      <c r="G396"/>
      <c r="H396"/>
      <c r="I396"/>
      <c r="J396"/>
      <c r="K396"/>
    </row>
    <row r="397" spans="1:11" x14ac:dyDescent="0.25">
      <c r="A397"/>
      <c r="B397"/>
      <c r="C397"/>
      <c r="D397"/>
      <c r="E397"/>
      <c r="F397"/>
      <c r="G397"/>
      <c r="H397"/>
      <c r="I397"/>
      <c r="J397"/>
      <c r="K397"/>
    </row>
    <row r="398" spans="1:11" x14ac:dyDescent="0.25">
      <c r="A398"/>
      <c r="B398"/>
      <c r="C398"/>
      <c r="D398"/>
      <c r="E398"/>
      <c r="F398"/>
      <c r="G398"/>
      <c r="H398"/>
      <c r="I398"/>
      <c r="J398"/>
      <c r="K398"/>
    </row>
    <row r="399" spans="1:11" x14ac:dyDescent="0.25">
      <c r="A399"/>
      <c r="B399"/>
      <c r="C399"/>
      <c r="D399"/>
      <c r="E399"/>
      <c r="F399"/>
      <c r="G399"/>
      <c r="H399"/>
      <c r="I399"/>
      <c r="J399"/>
      <c r="K399"/>
    </row>
    <row r="400" spans="1:11" x14ac:dyDescent="0.25">
      <c r="A400"/>
      <c r="B400"/>
      <c r="C400"/>
      <c r="D400"/>
      <c r="E400"/>
      <c r="F400"/>
      <c r="G400"/>
      <c r="H400"/>
      <c r="I400"/>
      <c r="J400"/>
      <c r="K400"/>
    </row>
    <row r="401" spans="1:11" x14ac:dyDescent="0.25">
      <c r="A401"/>
      <c r="B401"/>
      <c r="C401"/>
      <c r="D401"/>
      <c r="E401"/>
      <c r="F401"/>
      <c r="G401"/>
      <c r="H401"/>
      <c r="I401"/>
      <c r="J401"/>
      <c r="K401"/>
    </row>
    <row r="402" spans="1:11" x14ac:dyDescent="0.25">
      <c r="A402"/>
      <c r="B402"/>
      <c r="C402"/>
      <c r="D402"/>
      <c r="E402"/>
      <c r="F402"/>
      <c r="G402"/>
      <c r="H402"/>
      <c r="I402"/>
      <c r="J402"/>
      <c r="K402"/>
    </row>
    <row r="403" spans="1:11" x14ac:dyDescent="0.25">
      <c r="A403"/>
      <c r="B403"/>
      <c r="C403"/>
      <c r="D403"/>
      <c r="E403"/>
      <c r="F403"/>
      <c r="G403"/>
      <c r="H403"/>
      <c r="I403"/>
      <c r="J403"/>
      <c r="K403"/>
    </row>
    <row r="404" spans="1:11" x14ac:dyDescent="0.25">
      <c r="A404"/>
      <c r="B404"/>
      <c r="C404"/>
      <c r="D404"/>
      <c r="E404"/>
      <c r="F404"/>
      <c r="G404"/>
      <c r="H404"/>
      <c r="I404"/>
      <c r="J404"/>
      <c r="K404"/>
    </row>
    <row r="405" spans="1:11" x14ac:dyDescent="0.25">
      <c r="A405"/>
      <c r="B405"/>
      <c r="C405"/>
      <c r="D405"/>
      <c r="E405"/>
      <c r="F405"/>
      <c r="G405"/>
      <c r="H405"/>
      <c r="I405"/>
      <c r="J405"/>
      <c r="K405"/>
    </row>
    <row r="406" spans="1:11" x14ac:dyDescent="0.25">
      <c r="A406"/>
      <c r="B406"/>
      <c r="C406"/>
      <c r="D406"/>
      <c r="E406"/>
      <c r="F406"/>
      <c r="G406"/>
      <c r="H406"/>
      <c r="I406"/>
      <c r="J406"/>
      <c r="K406"/>
    </row>
    <row r="407" spans="1:11" x14ac:dyDescent="0.25">
      <c r="A407"/>
      <c r="B407"/>
      <c r="C407"/>
      <c r="D407"/>
      <c r="E407"/>
      <c r="F407"/>
      <c r="G407"/>
      <c r="H407"/>
      <c r="I407"/>
      <c r="J407"/>
      <c r="K407"/>
    </row>
    <row r="408" spans="1:11" x14ac:dyDescent="0.25">
      <c r="A408"/>
      <c r="B408"/>
      <c r="C408"/>
      <c r="D408"/>
      <c r="E408"/>
      <c r="F408"/>
      <c r="G408"/>
      <c r="H408"/>
      <c r="I408"/>
      <c r="J408"/>
      <c r="K408"/>
    </row>
    <row r="409" spans="1:11" x14ac:dyDescent="0.25">
      <c r="A409"/>
      <c r="B409"/>
      <c r="C409"/>
      <c r="D409"/>
      <c r="E409"/>
      <c r="F409"/>
      <c r="G409"/>
      <c r="H409"/>
      <c r="I409"/>
      <c r="J409"/>
      <c r="K409"/>
    </row>
    <row r="410" spans="1:11" x14ac:dyDescent="0.25">
      <c r="A410"/>
      <c r="B410"/>
      <c r="C410"/>
      <c r="D410"/>
      <c r="E410"/>
      <c r="F410"/>
      <c r="G410"/>
      <c r="H410"/>
      <c r="I410"/>
      <c r="J410"/>
      <c r="K410"/>
    </row>
    <row r="411" spans="1:11" x14ac:dyDescent="0.25">
      <c r="A411"/>
      <c r="B411"/>
      <c r="C411"/>
      <c r="D411"/>
      <c r="E411"/>
      <c r="F411"/>
      <c r="G411"/>
      <c r="H411"/>
      <c r="I411"/>
      <c r="J411"/>
      <c r="K411"/>
    </row>
    <row r="412" spans="1:11" x14ac:dyDescent="0.25">
      <c r="A412"/>
      <c r="B412"/>
      <c r="C412"/>
      <c r="D412"/>
      <c r="E412"/>
      <c r="F412"/>
      <c r="G412"/>
      <c r="H412"/>
      <c r="I412"/>
      <c r="J412"/>
      <c r="K412"/>
    </row>
    <row r="413" spans="1:11" x14ac:dyDescent="0.25">
      <c r="A413"/>
      <c r="B413"/>
      <c r="C413"/>
      <c r="D413"/>
      <c r="E413"/>
      <c r="F413"/>
      <c r="G413"/>
      <c r="H413"/>
      <c r="I413"/>
      <c r="J413"/>
      <c r="K413"/>
    </row>
    <row r="414" spans="1:11" x14ac:dyDescent="0.25">
      <c r="A414"/>
      <c r="B414"/>
      <c r="C414"/>
      <c r="D414"/>
      <c r="E414"/>
      <c r="F414"/>
      <c r="G414"/>
      <c r="H414"/>
      <c r="I414"/>
      <c r="J414"/>
      <c r="K414"/>
    </row>
    <row r="415" spans="1:11" x14ac:dyDescent="0.25">
      <c r="A415"/>
      <c r="B415"/>
      <c r="C415"/>
      <c r="D415"/>
      <c r="E415"/>
      <c r="F415"/>
      <c r="G415"/>
      <c r="H415"/>
      <c r="I415"/>
      <c r="J415"/>
      <c r="K415"/>
    </row>
    <row r="416" spans="1:11" x14ac:dyDescent="0.25">
      <c r="A416"/>
      <c r="B416"/>
      <c r="C416"/>
      <c r="D416"/>
      <c r="E416"/>
      <c r="F416"/>
      <c r="G416"/>
      <c r="H416"/>
      <c r="I416"/>
      <c r="J416"/>
      <c r="K416"/>
    </row>
    <row r="417" spans="1:11" x14ac:dyDescent="0.25">
      <c r="A417"/>
      <c r="B417"/>
      <c r="C417"/>
      <c r="D417"/>
      <c r="E417"/>
      <c r="F417"/>
      <c r="G417"/>
      <c r="H417"/>
      <c r="I417"/>
      <c r="J417"/>
      <c r="K417"/>
    </row>
    <row r="418" spans="1:11" x14ac:dyDescent="0.25">
      <c r="A418"/>
      <c r="B418"/>
      <c r="C418"/>
      <c r="D418"/>
      <c r="E418"/>
      <c r="F418"/>
      <c r="G418"/>
      <c r="H418"/>
      <c r="I418"/>
      <c r="J418"/>
      <c r="K418"/>
    </row>
    <row r="419" spans="1:11" x14ac:dyDescent="0.25">
      <c r="A419"/>
      <c r="B419"/>
      <c r="C419"/>
      <c r="D419"/>
      <c r="E419"/>
      <c r="F419"/>
      <c r="G419"/>
      <c r="H419"/>
      <c r="I419"/>
      <c r="J419"/>
      <c r="K419"/>
    </row>
    <row r="420" spans="1:11" x14ac:dyDescent="0.25">
      <c r="A420"/>
      <c r="B420"/>
      <c r="C420"/>
      <c r="D420"/>
      <c r="E420"/>
      <c r="F420"/>
      <c r="G420"/>
      <c r="H420"/>
      <c r="I420"/>
      <c r="J420"/>
      <c r="K420"/>
    </row>
    <row r="421" spans="1:11" x14ac:dyDescent="0.25">
      <c r="A421"/>
      <c r="B421"/>
      <c r="C421"/>
      <c r="D421"/>
      <c r="E421"/>
      <c r="F421"/>
      <c r="G421"/>
      <c r="H421"/>
      <c r="I421"/>
      <c r="J421"/>
      <c r="K421"/>
    </row>
    <row r="422" spans="1:11" x14ac:dyDescent="0.25">
      <c r="A422"/>
      <c r="B422"/>
      <c r="C422"/>
      <c r="D422"/>
      <c r="E422"/>
      <c r="F422"/>
      <c r="G422"/>
      <c r="H422"/>
      <c r="I422"/>
      <c r="J422"/>
      <c r="K422"/>
    </row>
    <row r="423" spans="1:11" x14ac:dyDescent="0.25">
      <c r="A423"/>
      <c r="B423"/>
      <c r="C423"/>
      <c r="D423"/>
      <c r="E423"/>
      <c r="F423"/>
      <c r="G423"/>
      <c r="H423"/>
      <c r="I423"/>
      <c r="J423"/>
      <c r="K423"/>
    </row>
    <row r="424" spans="1:11" x14ac:dyDescent="0.25">
      <c r="A424"/>
      <c r="B424"/>
      <c r="C424"/>
      <c r="D424"/>
      <c r="E424"/>
      <c r="F424"/>
      <c r="G424"/>
      <c r="H424"/>
      <c r="I424"/>
      <c r="J424"/>
      <c r="K424"/>
    </row>
    <row r="425" spans="1:11" x14ac:dyDescent="0.25">
      <c r="A425"/>
      <c r="B425"/>
      <c r="C425"/>
      <c r="D425"/>
      <c r="E425"/>
      <c r="F425"/>
      <c r="G425"/>
      <c r="H425"/>
      <c r="I425"/>
      <c r="J425"/>
      <c r="K425"/>
    </row>
    <row r="426" spans="1:11" x14ac:dyDescent="0.25">
      <c r="A426"/>
      <c r="B426"/>
      <c r="C426"/>
      <c r="D426"/>
      <c r="E426"/>
      <c r="F426"/>
      <c r="G426"/>
      <c r="H426"/>
      <c r="I426"/>
      <c r="J426"/>
      <c r="K426"/>
    </row>
    <row r="427" spans="1:11" x14ac:dyDescent="0.25">
      <c r="A427"/>
      <c r="B427"/>
      <c r="C427"/>
      <c r="D427"/>
      <c r="E427"/>
      <c r="F427"/>
      <c r="G427"/>
      <c r="H427"/>
      <c r="I427"/>
      <c r="J427"/>
      <c r="K427"/>
    </row>
    <row r="428" spans="1:11" x14ac:dyDescent="0.25">
      <c r="A428"/>
      <c r="B428"/>
      <c r="C428"/>
      <c r="D428"/>
      <c r="E428"/>
      <c r="F428"/>
      <c r="G428"/>
      <c r="H428"/>
      <c r="I428"/>
      <c r="J428"/>
      <c r="K428"/>
    </row>
    <row r="429" spans="1:11" x14ac:dyDescent="0.25">
      <c r="A429"/>
      <c r="B429"/>
      <c r="C429"/>
      <c r="D429"/>
      <c r="E429"/>
      <c r="F429"/>
      <c r="G429"/>
      <c r="H429"/>
      <c r="I429"/>
      <c r="J429"/>
      <c r="K429"/>
    </row>
    <row r="430" spans="1:11" x14ac:dyDescent="0.25">
      <c r="A430"/>
      <c r="B430"/>
      <c r="C430"/>
      <c r="D430"/>
      <c r="E430"/>
      <c r="F430"/>
      <c r="G430"/>
      <c r="H430"/>
      <c r="I430"/>
      <c r="J430"/>
      <c r="K430"/>
    </row>
    <row r="431" spans="1:11" x14ac:dyDescent="0.25">
      <c r="A431"/>
      <c r="B431"/>
      <c r="C431"/>
      <c r="D431"/>
      <c r="E431"/>
      <c r="F431"/>
      <c r="G431"/>
      <c r="H431"/>
      <c r="I431"/>
      <c r="J431"/>
      <c r="K431"/>
    </row>
    <row r="432" spans="1:11" x14ac:dyDescent="0.25">
      <c r="A432"/>
      <c r="B432"/>
      <c r="C432"/>
      <c r="D432"/>
      <c r="E432"/>
      <c r="F432"/>
      <c r="G432"/>
      <c r="H432"/>
      <c r="I432"/>
      <c r="J432"/>
      <c r="K432"/>
    </row>
    <row r="433" spans="1:11" x14ac:dyDescent="0.25">
      <c r="A433"/>
      <c r="B433"/>
      <c r="C433"/>
      <c r="D433"/>
      <c r="E433"/>
      <c r="F433"/>
      <c r="G433"/>
      <c r="H433"/>
      <c r="I433"/>
      <c r="J433"/>
      <c r="K433"/>
    </row>
    <row r="434" spans="1:11" x14ac:dyDescent="0.25">
      <c r="A434"/>
      <c r="B434"/>
      <c r="C434"/>
      <c r="D434"/>
      <c r="E434"/>
      <c r="F434"/>
      <c r="G434"/>
      <c r="H434"/>
      <c r="I434"/>
      <c r="J434"/>
      <c r="K434"/>
    </row>
    <row r="435" spans="1:11" x14ac:dyDescent="0.25">
      <c r="A435"/>
      <c r="B435"/>
      <c r="C435"/>
      <c r="D435"/>
      <c r="E435"/>
      <c r="F435"/>
      <c r="G435"/>
      <c r="H435"/>
      <c r="I435"/>
      <c r="J435"/>
      <c r="K435"/>
    </row>
    <row r="436" spans="1:11" x14ac:dyDescent="0.25">
      <c r="A436"/>
      <c r="B436"/>
      <c r="C436"/>
      <c r="D436"/>
      <c r="E436"/>
      <c r="F436"/>
      <c r="G436"/>
      <c r="H436"/>
      <c r="I436"/>
      <c r="J436"/>
      <c r="K436"/>
    </row>
    <row r="437" spans="1:11" x14ac:dyDescent="0.25">
      <c r="A437"/>
      <c r="B437"/>
      <c r="C437"/>
      <c r="D437"/>
      <c r="E437"/>
      <c r="F437"/>
      <c r="G437"/>
      <c r="H437"/>
      <c r="I437"/>
      <c r="J437"/>
      <c r="K437"/>
    </row>
    <row r="438" spans="1:11" x14ac:dyDescent="0.25">
      <c r="A438"/>
      <c r="B438"/>
      <c r="C438"/>
      <c r="D438"/>
      <c r="E438"/>
      <c r="F438"/>
      <c r="G438"/>
      <c r="H438"/>
      <c r="I438"/>
      <c r="J438"/>
      <c r="K438"/>
    </row>
    <row r="439" spans="1:11" x14ac:dyDescent="0.25">
      <c r="A439"/>
      <c r="B439"/>
      <c r="C439"/>
      <c r="D439"/>
      <c r="E439"/>
      <c r="F439"/>
      <c r="G439"/>
      <c r="H439"/>
      <c r="I439"/>
      <c r="J439"/>
      <c r="K439"/>
    </row>
    <row r="440" spans="1:11" x14ac:dyDescent="0.25">
      <c r="A440"/>
      <c r="B440"/>
      <c r="C440"/>
      <c r="D440"/>
      <c r="E440"/>
      <c r="F440"/>
      <c r="G440"/>
      <c r="H440"/>
      <c r="I440"/>
      <c r="J440"/>
      <c r="K440"/>
    </row>
    <row r="441" spans="1:11" x14ac:dyDescent="0.25">
      <c r="A441"/>
      <c r="B441"/>
      <c r="C441"/>
      <c r="D441"/>
      <c r="E441"/>
      <c r="F441"/>
      <c r="G441"/>
      <c r="H441"/>
      <c r="I441"/>
      <c r="J441"/>
      <c r="K441"/>
    </row>
    <row r="442" spans="1:11" x14ac:dyDescent="0.25">
      <c r="A442"/>
      <c r="B442"/>
      <c r="C442"/>
      <c r="D442"/>
      <c r="E442"/>
      <c r="F442"/>
      <c r="G442"/>
      <c r="H442"/>
      <c r="I442"/>
      <c r="J442"/>
      <c r="K442"/>
    </row>
    <row r="443" spans="1:11" x14ac:dyDescent="0.25">
      <c r="A443"/>
      <c r="B443"/>
      <c r="C443"/>
      <c r="D443"/>
      <c r="E443"/>
      <c r="F443"/>
      <c r="G443"/>
      <c r="H443"/>
      <c r="I443"/>
      <c r="J443"/>
      <c r="K443"/>
    </row>
    <row r="444" spans="1:11" x14ac:dyDescent="0.25">
      <c r="A444"/>
      <c r="B444"/>
      <c r="C444"/>
      <c r="D444"/>
      <c r="E444"/>
      <c r="F444"/>
      <c r="G444"/>
      <c r="H444"/>
      <c r="I444"/>
      <c r="J444"/>
      <c r="K444"/>
    </row>
    <row r="445" spans="1:11" x14ac:dyDescent="0.25">
      <c r="A445"/>
      <c r="B445"/>
      <c r="C445"/>
      <c r="D445"/>
      <c r="E445"/>
      <c r="F445"/>
      <c r="G445"/>
      <c r="H445"/>
      <c r="I445"/>
      <c r="J445"/>
      <c r="K445"/>
    </row>
    <row r="446" spans="1:11" x14ac:dyDescent="0.25">
      <c r="A446"/>
      <c r="B446"/>
      <c r="C446"/>
      <c r="D446"/>
      <c r="E446"/>
      <c r="F446"/>
      <c r="G446"/>
      <c r="H446"/>
      <c r="I446"/>
      <c r="J446"/>
      <c r="K446"/>
    </row>
    <row r="447" spans="1:11" x14ac:dyDescent="0.25">
      <c r="A447"/>
      <c r="B447"/>
      <c r="C447"/>
      <c r="D447"/>
      <c r="E447"/>
      <c r="F447"/>
      <c r="G447"/>
      <c r="H447"/>
      <c r="I447"/>
      <c r="J447"/>
      <c r="K447"/>
    </row>
    <row r="448" spans="1:11" x14ac:dyDescent="0.25">
      <c r="A448"/>
      <c r="B448"/>
      <c r="C448"/>
      <c r="D448"/>
      <c r="E448"/>
      <c r="F448"/>
      <c r="G448"/>
      <c r="H448"/>
      <c r="I448"/>
      <c r="J448"/>
      <c r="K448"/>
    </row>
    <row r="449" spans="1:11" x14ac:dyDescent="0.25">
      <c r="A449"/>
      <c r="B449"/>
      <c r="C449"/>
      <c r="D449"/>
      <c r="E449"/>
      <c r="F449"/>
      <c r="G449"/>
      <c r="H449"/>
      <c r="I449"/>
      <c r="J449"/>
      <c r="K449"/>
    </row>
    <row r="450" spans="1:11" x14ac:dyDescent="0.25">
      <c r="A450"/>
      <c r="B450"/>
      <c r="C450"/>
      <c r="D450"/>
      <c r="E450"/>
      <c r="F450"/>
      <c r="G450"/>
      <c r="H450"/>
      <c r="I450"/>
      <c r="J450"/>
      <c r="K450"/>
    </row>
    <row r="451" spans="1:11" x14ac:dyDescent="0.25">
      <c r="A451"/>
      <c r="B451"/>
      <c r="C451"/>
      <c r="D451"/>
      <c r="E451"/>
      <c r="F451"/>
      <c r="G451"/>
      <c r="H451"/>
      <c r="I451"/>
      <c r="J451"/>
      <c r="K451"/>
    </row>
    <row r="452" spans="1:11" x14ac:dyDescent="0.25">
      <c r="A452"/>
      <c r="B452"/>
      <c r="C452"/>
      <c r="D452"/>
      <c r="E452"/>
      <c r="F452"/>
      <c r="G452"/>
      <c r="H452"/>
      <c r="I452"/>
      <c r="J452"/>
      <c r="K452"/>
    </row>
    <row r="453" spans="1:11" x14ac:dyDescent="0.25">
      <c r="A453"/>
      <c r="B453"/>
      <c r="C453"/>
      <c r="D453"/>
      <c r="E453"/>
      <c r="F453"/>
      <c r="G453"/>
      <c r="H453"/>
      <c r="I453"/>
      <c r="J453"/>
      <c r="K453"/>
    </row>
    <row r="454" spans="1:11" x14ac:dyDescent="0.25">
      <c r="A454"/>
      <c r="B454"/>
      <c r="C454"/>
      <c r="D454"/>
      <c r="E454"/>
      <c r="F454"/>
      <c r="G454"/>
      <c r="H454"/>
      <c r="I454"/>
      <c r="J454"/>
      <c r="K454"/>
    </row>
    <row r="455" spans="1:11" x14ac:dyDescent="0.25">
      <c r="A455"/>
      <c r="B455"/>
      <c r="C455"/>
      <c r="D455"/>
      <c r="E455"/>
      <c r="F455"/>
      <c r="G455"/>
      <c r="H455"/>
      <c r="I455"/>
      <c r="J455"/>
      <c r="K455"/>
    </row>
    <row r="456" spans="1:11" x14ac:dyDescent="0.25">
      <c r="A456"/>
      <c r="B456"/>
      <c r="C456"/>
      <c r="D456"/>
      <c r="E456"/>
      <c r="F456"/>
      <c r="G456"/>
      <c r="H456"/>
      <c r="I456"/>
      <c r="J456"/>
      <c r="K456"/>
    </row>
    <row r="457" spans="1:11" x14ac:dyDescent="0.25">
      <c r="A457"/>
      <c r="B457"/>
      <c r="C457"/>
      <c r="D457"/>
      <c r="E457"/>
      <c r="F457"/>
      <c r="G457"/>
      <c r="H457"/>
      <c r="I457"/>
      <c r="J457"/>
      <c r="K457"/>
    </row>
    <row r="458" spans="1:11" x14ac:dyDescent="0.25">
      <c r="A458"/>
      <c r="B458"/>
      <c r="C458"/>
      <c r="D458"/>
      <c r="E458"/>
      <c r="F458"/>
      <c r="G458"/>
      <c r="H458"/>
      <c r="I458"/>
      <c r="J458"/>
      <c r="K458"/>
    </row>
    <row r="459" spans="1:11" x14ac:dyDescent="0.25">
      <c r="A459"/>
      <c r="B459"/>
      <c r="C459"/>
      <c r="D459"/>
      <c r="E459"/>
      <c r="F459"/>
      <c r="G459"/>
      <c r="H459"/>
      <c r="I459"/>
      <c r="J459"/>
      <c r="K459"/>
    </row>
    <row r="460" spans="1:11" x14ac:dyDescent="0.25">
      <c r="A460"/>
      <c r="B460"/>
      <c r="C460"/>
      <c r="D460"/>
      <c r="E460"/>
      <c r="F460"/>
      <c r="G460"/>
      <c r="H460"/>
      <c r="I460"/>
      <c r="J460"/>
      <c r="K460"/>
    </row>
    <row r="461" spans="1:11" x14ac:dyDescent="0.25">
      <c r="A461"/>
      <c r="B461"/>
      <c r="C461"/>
      <c r="D461"/>
      <c r="E461"/>
      <c r="F461"/>
      <c r="G461"/>
      <c r="H461"/>
      <c r="I461"/>
      <c r="J461"/>
      <c r="K461"/>
    </row>
    <row r="462" spans="1:11" x14ac:dyDescent="0.25">
      <c r="A462"/>
      <c r="B462"/>
      <c r="C462"/>
      <c r="D462"/>
      <c r="E462"/>
      <c r="F462"/>
      <c r="G462"/>
      <c r="H462"/>
      <c r="I462"/>
      <c r="J462"/>
      <c r="K462"/>
    </row>
    <row r="463" spans="1:11" x14ac:dyDescent="0.25">
      <c r="A463"/>
      <c r="B463"/>
      <c r="C463"/>
      <c r="D463"/>
      <c r="E463"/>
      <c r="F463"/>
      <c r="G463"/>
      <c r="H463"/>
      <c r="I463"/>
      <c r="J463"/>
      <c r="K463"/>
    </row>
    <row r="464" spans="1:11" x14ac:dyDescent="0.25">
      <c r="A464"/>
      <c r="B464"/>
      <c r="C464"/>
      <c r="D464"/>
      <c r="E464"/>
      <c r="F464"/>
      <c r="G464"/>
      <c r="H464"/>
      <c r="I464"/>
      <c r="J464"/>
      <c r="K464"/>
    </row>
    <row r="465" spans="1:11" x14ac:dyDescent="0.25">
      <c r="A465"/>
      <c r="B465"/>
      <c r="C465"/>
      <c r="D465"/>
      <c r="E465"/>
      <c r="F465"/>
      <c r="G465"/>
      <c r="H465"/>
      <c r="I465"/>
      <c r="J465"/>
      <c r="K465"/>
    </row>
    <row r="466" spans="1:11" ht="13.8" thickBot="1" x14ac:dyDescent="0.3">
      <c r="A466"/>
      <c r="B466"/>
      <c r="C466"/>
      <c r="D466"/>
      <c r="E466"/>
      <c r="F466"/>
      <c r="G466"/>
      <c r="H466"/>
      <c r="I466"/>
      <c r="J466"/>
      <c r="K466"/>
    </row>
    <row r="467" spans="1:11" ht="14.4" thickTop="1" thickBot="1" x14ac:dyDescent="0.3">
      <c r="A467"/>
      <c r="B467"/>
      <c r="C467"/>
      <c r="D467"/>
      <c r="E467"/>
      <c r="F467"/>
      <c r="G467"/>
      <c r="H467"/>
      <c r="I467"/>
      <c r="J467"/>
      <c r="K467"/>
    </row>
    <row r="468" spans="1:11" ht="13.8" thickTop="1" x14ac:dyDescent="0.25"/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SAISIE</vt:lpstr>
      <vt:lpstr>TCD RECETTE</vt:lpstr>
      <vt:lpstr>TCD ENCAISSEMENTS</vt:lpstr>
      <vt:lpstr>SAISIE!Impression_des_titres</vt:lpstr>
      <vt:lpstr>SAISIE!Zone_d_impression</vt:lpstr>
      <vt:lpstr>'TCD RECETTE'!Zone_d_impression</vt:lpstr>
    </vt:vector>
  </TitlesOfParts>
  <Company>Hôtel de Londres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LCC</dc:creator>
  <cp:keywords>RECETTES</cp:keywords>
  <cp:lastModifiedBy>JoDan</cp:lastModifiedBy>
  <cp:lastPrinted>2022-12-06T22:01:09Z</cp:lastPrinted>
  <dcterms:created xsi:type="dcterms:W3CDTF">2001-04-08T16:54:49Z</dcterms:created>
  <dcterms:modified xsi:type="dcterms:W3CDTF">2023-01-01T22:26:21Z</dcterms:modified>
</cp:coreProperties>
</file>