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F8E83C8-42B4-4EE9-960F-69481A8DC09F}" xr6:coauthVersionLast="45" xr6:coauthVersionMax="45" xr10:uidLastSave="{00000000-0000-0000-0000-000000000000}"/>
  <bookViews>
    <workbookView xWindow="-108" yWindow="-108" windowWidth="22320" windowHeight="12048" activeTab="3" xr2:uid="{35E461BF-1E22-4854-8DE7-6BC02301E88A}"/>
  </bookViews>
  <sheets>
    <sheet name="Base" sheetId="1" r:id="rId1"/>
    <sheet name="Paramètres" sheetId="2" r:id="rId2"/>
    <sheet name="Tableau" sheetId="4" r:id="rId3"/>
    <sheet name="TCD" sheetId="5" r:id="rId4"/>
  </sheets>
  <definedNames>
    <definedName name="_xlnm._FilterDatabase" localSheetId="0" hidden="1">Base!$A$1:$S$30</definedName>
    <definedName name="AUTRES">Paramètres!$H$4:$H$6</definedName>
    <definedName name="DonnéesExternes_1" localSheetId="3" hidden="1">TCD!#REF!</definedName>
    <definedName name="Gamme">Paramètres!$B$4:$B$14</definedName>
    <definedName name="LOCAL">Paramètres!$F$4:$F$10</definedName>
    <definedName name="SIQO">Paramètres!$D$4:$D$8</definedName>
    <definedName name="type">Paramètres!$J$4:$J$5</definedName>
  </definedNames>
  <calcPr calcId="191029"/>
  <pivotCaches>
    <pivotCache cacheId="33" r:id="rId5"/>
    <pivotCache cacheId="35" r:id="rId6"/>
    <pivotCache cacheId="37" r:id="rId7"/>
    <pivotCache cacheId="45" r:id="rId8"/>
    <pivotCache cacheId="47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1" l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N26" i="1"/>
  <c r="O26" i="1"/>
  <c r="L26" i="1"/>
  <c r="K26" i="1"/>
  <c r="H26" i="1"/>
  <c r="I26" i="1"/>
  <c r="G26" i="1"/>
  <c r="F58" i="4"/>
  <c r="E34" i="4"/>
  <c r="E98" i="4"/>
  <c r="F97" i="4"/>
  <c r="E73" i="4"/>
  <c r="F72" i="4"/>
  <c r="E48" i="4"/>
  <c r="F47" i="4"/>
  <c r="F13" i="4"/>
  <c r="E94" i="4"/>
  <c r="F93" i="4"/>
  <c r="E69" i="4"/>
  <c r="F68" i="4"/>
  <c r="E44" i="4"/>
  <c r="F43" i="4"/>
  <c r="F9" i="4"/>
  <c r="E86" i="4"/>
  <c r="F85" i="4"/>
  <c r="E61" i="4"/>
  <c r="F60" i="4"/>
  <c r="E36" i="4"/>
  <c r="F35" i="4"/>
  <c r="E9" i="4"/>
  <c r="F33" i="4"/>
  <c r="E10" i="4"/>
  <c r="E80" i="4"/>
  <c r="F79" i="4"/>
  <c r="E55" i="4"/>
  <c r="F34" i="4"/>
  <c r="F98" i="4"/>
  <c r="E74" i="4"/>
  <c r="F73" i="4"/>
  <c r="E49" i="4"/>
  <c r="F48" i="4"/>
  <c r="F14" i="4"/>
  <c r="E95" i="4"/>
  <c r="E70" i="4"/>
  <c r="F69" i="4"/>
  <c r="E45" i="4"/>
  <c r="F44" i="4"/>
  <c r="F10" i="4"/>
  <c r="E91" i="4"/>
  <c r="F86" i="4"/>
  <c r="E62" i="4"/>
  <c r="F61" i="4"/>
  <c r="E37" i="4"/>
  <c r="F36" i="4"/>
  <c r="E13" i="4"/>
  <c r="E83" i="4"/>
  <c r="E11" i="4"/>
  <c r="E81" i="4"/>
  <c r="F80" i="4"/>
  <c r="E56" i="4"/>
  <c r="F55" i="4"/>
  <c r="E31" i="4"/>
  <c r="E12" i="4"/>
  <c r="E82" i="4"/>
  <c r="E50" i="4"/>
  <c r="F49" i="4"/>
  <c r="F15" i="4"/>
  <c r="E96" i="4"/>
  <c r="E71" i="4"/>
  <c r="F70" i="4"/>
  <c r="F45" i="4"/>
  <c r="E92" i="4"/>
  <c r="F91" i="4"/>
  <c r="F62" i="4"/>
  <c r="F37" i="4"/>
  <c r="E14" i="4"/>
  <c r="F83" i="4"/>
  <c r="F81" i="4"/>
  <c r="E57" i="4"/>
  <c r="F56" i="4"/>
  <c r="F32" i="4"/>
  <c r="F82" i="4"/>
  <c r="F50" i="4"/>
  <c r="E97" i="4"/>
  <c r="F96" i="4"/>
  <c r="F71" i="4"/>
  <c r="F46" i="4"/>
  <c r="E93" i="4"/>
  <c r="E68" i="4"/>
  <c r="E43" i="4"/>
  <c r="E15" i="4"/>
  <c r="E60" i="4"/>
  <c r="F57" i="4"/>
  <c r="F31" i="4"/>
  <c r="E79" i="4"/>
  <c r="F94" i="4"/>
  <c r="F74" i="4"/>
  <c r="F95" i="4"/>
  <c r="E46" i="4"/>
  <c r="F11" i="4"/>
  <c r="E67" i="4"/>
  <c r="E38" i="4"/>
  <c r="E84" i="4"/>
  <c r="E59" i="4"/>
  <c r="E32" i="4"/>
  <c r="E58" i="4"/>
  <c r="F8" i="4"/>
  <c r="E72" i="4"/>
  <c r="E47" i="4"/>
  <c r="F12" i="4"/>
  <c r="F92" i="4"/>
  <c r="F67" i="4"/>
  <c r="F38" i="4"/>
  <c r="E85" i="4"/>
  <c r="F84" i="4"/>
  <c r="F59" i="4"/>
  <c r="E35" i="4"/>
  <c r="E33" i="4"/>
  <c r="E8" i="4"/>
  <c r="F63" i="4" l="1"/>
  <c r="P58" i="4" s="1"/>
  <c r="F87" i="4"/>
  <c r="P79" i="4" s="1"/>
  <c r="F39" i="4"/>
  <c r="P42" i="4" s="1"/>
  <c r="P62" i="4"/>
  <c r="F51" i="4"/>
  <c r="P50" i="4" s="1"/>
  <c r="F75" i="4"/>
  <c r="P67" i="4" s="1"/>
  <c r="F99" i="4"/>
  <c r="P85" i="4" s="1"/>
  <c r="P82" i="4"/>
  <c r="P87" i="4"/>
  <c r="F16" i="4"/>
  <c r="P36" i="4" s="1"/>
  <c r="G27" i="1"/>
  <c r="P64" i="4" l="1"/>
  <c r="P59" i="4"/>
  <c r="P48" i="4"/>
  <c r="P86" i="4"/>
  <c r="P83" i="4"/>
  <c r="P46" i="4"/>
  <c r="P53" i="4"/>
  <c r="P57" i="4"/>
  <c r="P41" i="4"/>
  <c r="P37" i="4"/>
  <c r="P61" i="4"/>
  <c r="P34" i="4"/>
  <c r="P54" i="4"/>
  <c r="P38" i="4"/>
  <c r="P35" i="4"/>
  <c r="P43" i="4"/>
  <c r="P45" i="4"/>
  <c r="P88" i="4"/>
  <c r="P55" i="4"/>
  <c r="P39" i="4"/>
  <c r="P84" i="4"/>
  <c r="P51" i="4"/>
  <c r="P65" i="4"/>
  <c r="P63" i="4"/>
  <c r="P60" i="4"/>
  <c r="P89" i="4"/>
  <c r="P56" i="4"/>
  <c r="P40" i="4"/>
  <c r="P52" i="4"/>
  <c r="P80" i="4"/>
  <c r="P47" i="4"/>
  <c r="P75" i="4"/>
  <c r="P66" i="4"/>
  <c r="P81" i="4"/>
  <c r="P76" i="4"/>
  <c r="P74" i="4"/>
  <c r="P78" i="4"/>
  <c r="P77" i="4"/>
  <c r="P73" i="4"/>
  <c r="P72" i="4"/>
  <c r="P71" i="4"/>
  <c r="P70" i="4"/>
  <c r="P69" i="4"/>
  <c r="P68" i="4"/>
  <c r="P49" i="4"/>
  <c r="P44" i="4"/>
  <c r="I28" i="1"/>
  <c r="L28" i="1"/>
  <c r="O28" i="1"/>
  <c r="K28" i="1"/>
  <c r="N28" i="1"/>
  <c r="M28" i="1"/>
  <c r="J28" i="1"/>
  <c r="H28" i="1"/>
  <c r="G28" i="1"/>
  <c r="G29" i="1" s="1"/>
  <c r="H30" i="1" l="1"/>
  <c r="H29" i="1"/>
  <c r="I3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4BA6EC-09CB-49E8-8A7E-56B4E59A111C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A58A5E05-4DCD-4923-9FF7-7E10E54B3F8E}" keepAlive="1" name="Requête - Base (Gamme)" description="Connexion à la requête « Base (Gamme) » dans le classeur." type="5" refreshedVersion="6" background="1">
    <dbPr connection="Provider=Microsoft.Mashup.OleDb.1;Data Source=$Workbook$;Location=&quot;Base (Gamme)&quot;;Extended Properties=&quot;&quot;" command="SELECT * FROM [Base (Gamme)]"/>
  </connection>
  <connection id="3" xr16:uid="{9D8F3093-61C8-4348-9AE5-8B0A3E2F0BEF}" keepAlive="1" name="Requête - Base (Produit)" description="Connexion à la requête « Base (Produit) » dans le classeur." type="5" refreshedVersion="6" background="1" saveData="1">
    <dbPr connection="Provider=Microsoft.Mashup.OleDb.1;Data Source=$Workbook$;Location=Base (Produit);Extended Properties=&quot;&quot;" command="SELECT * FROM [Base (Produit)]"/>
  </connection>
  <connection id="4" xr16:uid="{5E1059F7-3D73-41CB-A0E9-920F40FBE82E}" keepAlive="1" name="Requête - Base (TCD)" description="Connexion à la requête « Base (TCD) » dans le classeur." type="5" refreshedVersion="6" background="1" saveData="1">
    <dbPr connection="Provider=Microsoft.Mashup.OleDb.1;Data Source=$Workbook$;Location=&quot;Base (TCD)&quot;;Extended Properties=&quot;&quot;" command="SELECT * FROM [Base (TCD)]"/>
  </connection>
  <connection id="5" xr16:uid="{ED1AC2A0-088C-45ED-B11C-5A6B768DCBBE}" keepAlive="1" name="Requête - Gamme" description="Connexion à la requête « Gamme » dans le classeur." type="5" refreshedVersion="0" background="1">
    <dbPr connection="Provider=Microsoft.Mashup.OleDb.1;Data Source=$Workbook$;Location=Gamme;Extended Properties=&quot;&quot;" command="SELECT * FROM [Gamme]"/>
  </connection>
  <connection id="6" xr16:uid="{55C9DDFC-89FF-4525-8609-7D589BD32D9A}" keepAlive="1" name="Requête - Gamme/Type produit" description="Connexion à la requête « Gamme/Type produit » dans le classeur." type="5" refreshedVersion="6" background="1">
    <dbPr connection="Provider=Microsoft.Mashup.OleDb.1;Data Source=$Workbook$;Location=Gamme/Type produit;Extended Properties=&quot;&quot;" command="SELECT * FROM [Gamme/Type produit]"/>
  </connection>
  <connection id="7" xr16:uid="{3B976CF3-9CAD-45AB-8FFE-84E324A3CE62}" keepAlive="1" name="Requête - Produit" description="Connexion à la requête « Produit » dans le classeur." type="5" refreshedVersion="0" background="1">
    <dbPr connection="Provider=Microsoft.Mashup.OleDb.1;Data Source=$Workbook$;Location=Produit;Extended Properties=&quot;&quot;" command="SELECT * FROM [Produit]"/>
  </connection>
  <connection id="8" xr16:uid="{D12F88A5-53E3-4D6F-9CFB-A08A9B1EDA70}" keepAlive="1" name="Requête - Type produit/Gamme" description="Connexion à la requête « Type produit/Gamme » dans le classeur." type="5" refreshedVersion="0" background="1">
    <dbPr connection="Provider=Microsoft.Mashup.OleDb.1;Data Source=$Workbook$;Location=&quot;Type produit/Gamme&quot;;Extended Properties=&quot;&quot;" command="SELECT * FROM [Type produit/Gamme]"/>
  </connection>
  <connection id="9" xr16:uid="{B84935B1-795B-4084-9A4B-6E0646731D73}" keepAlive="1" name="Requête - Type produit/Produit" description="Connexion à la requête « Type produit/Produit » dans le classeur." type="5" refreshedVersion="0" background="1">
    <dbPr connection="Provider=Microsoft.Mashup.OleDb.1;Data Source=$Workbook$;Location=&quot;Type produit/Produit&quot;;Extended Properties=&quot;&quot;" command="SELECT * FROM [Type produit/Produit]"/>
  </connection>
</connections>
</file>

<file path=xl/sharedStrings.xml><?xml version="1.0" encoding="utf-8"?>
<sst xmlns="http://schemas.openxmlformats.org/spreadsheetml/2006/main" count="426" uniqueCount="126">
  <si>
    <t xml:space="preserve">Date </t>
  </si>
  <si>
    <t>n°du bon de livraison</t>
  </si>
  <si>
    <t xml:space="preserve">Fournisseur </t>
  </si>
  <si>
    <t>Type de produits</t>
  </si>
  <si>
    <t xml:space="preserve">Produit </t>
  </si>
  <si>
    <t xml:space="preserve">Gamme </t>
  </si>
  <si>
    <t xml:space="preserve">Montant / Caractéristiques du produit </t>
  </si>
  <si>
    <t>Produits "durables"</t>
  </si>
  <si>
    <t xml:space="preserve">BIO </t>
  </si>
  <si>
    <t>Produits sans spécifications</t>
  </si>
  <si>
    <t>Total €</t>
  </si>
  <si>
    <t>Total global €</t>
  </si>
  <si>
    <t xml:space="preserve">Coût par rapport au coût total % </t>
  </si>
  <si>
    <t>BOF</t>
  </si>
  <si>
    <t xml:space="preserve">Viandes </t>
  </si>
  <si>
    <t>Volailles</t>
  </si>
  <si>
    <t>Fruits</t>
  </si>
  <si>
    <t>Légumes</t>
  </si>
  <si>
    <t>Poissons</t>
  </si>
  <si>
    <t>Epicerie</t>
  </si>
  <si>
    <t>Boisson</t>
  </si>
  <si>
    <t>Entretiens et jetables</t>
  </si>
  <si>
    <t>Charcuterie Traiteur</t>
  </si>
  <si>
    <t>Consommables</t>
  </si>
  <si>
    <t>AOP</t>
  </si>
  <si>
    <t>IGP</t>
  </si>
  <si>
    <t>AOC</t>
  </si>
  <si>
    <t>STG</t>
  </si>
  <si>
    <t>LABEL ROUGE</t>
  </si>
  <si>
    <t xml:space="preserve">LOCAL </t>
  </si>
  <si>
    <t xml:space="preserve">HVE </t>
  </si>
  <si>
    <t>SIQO</t>
  </si>
  <si>
    <t>Produit fermier</t>
  </si>
  <si>
    <t xml:space="preserve">Ecolabel </t>
  </si>
  <si>
    <t>Autres</t>
  </si>
  <si>
    <t>Fruits et légumes de ma région</t>
  </si>
  <si>
    <t>Les eleveurs de la charentonne</t>
  </si>
  <si>
    <t>Saveurs en OR</t>
  </si>
  <si>
    <t>Ferme des peupliers</t>
  </si>
  <si>
    <t>Adrien Labrouche</t>
  </si>
  <si>
    <t>Lionor</t>
  </si>
  <si>
    <t>100% LOCAL</t>
  </si>
  <si>
    <t>BLEU BLANC CŒUR</t>
  </si>
  <si>
    <t>Vergers ecoresponsables</t>
  </si>
  <si>
    <t>Bienvenue à la ferme</t>
  </si>
  <si>
    <t>HVE</t>
  </si>
  <si>
    <t>Total général</t>
  </si>
  <si>
    <t>Frais</t>
  </si>
  <si>
    <t>Surgelé</t>
  </si>
  <si>
    <t>Cuisse de poulet</t>
  </si>
  <si>
    <t>Rôti</t>
  </si>
  <si>
    <t>Dinde</t>
  </si>
  <si>
    <t>Yaourth aux fruits</t>
  </si>
  <si>
    <t>Fromage frais</t>
  </si>
  <si>
    <t>GOUDA</t>
  </si>
  <si>
    <t>Cabillau</t>
  </si>
  <si>
    <t>Truite</t>
  </si>
  <si>
    <t>Entrecote</t>
  </si>
  <si>
    <t>Vinaigrette</t>
  </si>
  <si>
    <t>Pomme</t>
  </si>
  <si>
    <t>Clementine</t>
  </si>
  <si>
    <t>Courgette</t>
  </si>
  <si>
    <t>Haricots</t>
  </si>
  <si>
    <t>Pommes de terres</t>
  </si>
  <si>
    <t>Eau pétillante</t>
  </si>
  <si>
    <t>Papillote de fromage</t>
  </si>
  <si>
    <t>Quiche</t>
  </si>
  <si>
    <t xml:space="preserve">Suivi des approvisionnements - 2021 </t>
  </si>
  <si>
    <t>LOCAL Prix</t>
  </si>
  <si>
    <t>LOCAL Libellé</t>
  </si>
  <si>
    <t>SIQO Prix</t>
  </si>
  <si>
    <t>SIQO Libellé</t>
  </si>
  <si>
    <t>Autres 1</t>
  </si>
  <si>
    <t>Autres 2</t>
  </si>
  <si>
    <t>Autres 3</t>
  </si>
  <si>
    <t>Autres 4</t>
  </si>
  <si>
    <t>Valeur</t>
  </si>
  <si>
    <t>Qualité des approvisionnements</t>
  </si>
  <si>
    <t>% De fruits sans spécificités</t>
  </si>
  <si>
    <t>TOTAL</t>
  </si>
  <si>
    <t xml:space="preserve">Produits sans spécifications </t>
  </si>
  <si>
    <t>BIO</t>
  </si>
  <si>
    <t>LOCAL</t>
  </si>
  <si>
    <t>Ecolabel</t>
  </si>
  <si>
    <t xml:space="preserve">Produit fermier </t>
  </si>
  <si>
    <t>ALT + F5 POUR ACTUALISER LE TCD</t>
  </si>
  <si>
    <t>% de fruits bios (ou en cours de conversion)</t>
  </si>
  <si>
    <t>% de Fruits LOCAUX</t>
  </si>
  <si>
    <t>% De Fruits HVE</t>
  </si>
  <si>
    <t>% de Fruits fermiers</t>
  </si>
  <si>
    <t>% de Fruits sous écolabel</t>
  </si>
  <si>
    <t>% de Fruits AUTRES</t>
  </si>
  <si>
    <t xml:space="preserve">VIANDES </t>
  </si>
  <si>
    <t>BOISSONS</t>
  </si>
  <si>
    <t xml:space="preserve">  AUTRES</t>
  </si>
  <si>
    <t xml:space="preserve"> écolabel</t>
  </si>
  <si>
    <t xml:space="preserve"> fermiers</t>
  </si>
  <si>
    <t xml:space="preserve"> SIQO</t>
  </si>
  <si>
    <t xml:space="preserve"> LOCAUX</t>
  </si>
  <si>
    <t xml:space="preserve"> bios (ou en cours de conversion)</t>
  </si>
  <si>
    <t xml:space="preserve"> sans spécificités</t>
  </si>
  <si>
    <t>%</t>
  </si>
  <si>
    <t>% De Fruits SIQO</t>
  </si>
  <si>
    <t xml:space="preserve">Catégorie </t>
  </si>
  <si>
    <t>FRUITS</t>
  </si>
  <si>
    <t xml:space="preserve">Sans spécificités </t>
  </si>
  <si>
    <t>Bios</t>
  </si>
  <si>
    <t>Fermiers</t>
  </si>
  <si>
    <t>ecolabel</t>
  </si>
  <si>
    <t>Viandes</t>
  </si>
  <si>
    <t>Produit</t>
  </si>
  <si>
    <t xml:space="preserve">Montant </t>
  </si>
  <si>
    <t>Non spécifié</t>
  </si>
  <si>
    <t xml:space="preserve">Bio </t>
  </si>
  <si>
    <t>Local</t>
  </si>
  <si>
    <t>Fermier</t>
  </si>
  <si>
    <t xml:space="preserve"> </t>
  </si>
  <si>
    <t xml:space="preserve">% Gamme </t>
  </si>
  <si>
    <t xml:space="preserve">Total % Gamme </t>
  </si>
  <si>
    <t xml:space="preserve">Total Montant </t>
  </si>
  <si>
    <t xml:space="preserve">% Produit </t>
  </si>
  <si>
    <t>Sans spécifications</t>
  </si>
  <si>
    <t xml:space="preserve">% Frais </t>
  </si>
  <si>
    <t xml:space="preserve">% Surgelé </t>
  </si>
  <si>
    <t xml:space="preserve"> 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</si>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</sst>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;\-#,##0;&quot;&quot;"/>
    <numFmt numFmtId="166" formatCode="0.00%;\-0.00%;&quot;&quot;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1"/>
      <name val="Neue Haas Grotesk Text Pro Medi"/>
      <family val="2"/>
    </font>
    <font>
      <sz val="24"/>
      <color theme="1"/>
      <name val="Cooper Black"/>
      <family val="1"/>
    </font>
    <font>
      <sz val="20"/>
      <color theme="1"/>
      <name val="Arial Black"/>
      <family val="2"/>
    </font>
    <font>
      <b/>
      <sz val="20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0"/>
      </bottom>
      <diagonal/>
    </border>
    <border>
      <left style="thin">
        <color theme="7"/>
      </left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10" fontId="0" fillId="0" borderId="5" xfId="0" applyNumberFormat="1" applyBorder="1"/>
    <xf numFmtId="10" fontId="0" fillId="0" borderId="7" xfId="0" applyNumberFormat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0" fontId="0" fillId="0" borderId="6" xfId="0" applyNumberFormat="1" applyBorder="1"/>
    <xf numFmtId="10" fontId="0" fillId="0" borderId="13" xfId="0" applyNumberFormat="1" applyBorder="1" applyAlignment="1"/>
    <xf numFmtId="10" fontId="0" fillId="0" borderId="14" xfId="0" applyNumberFormat="1" applyBorder="1" applyAlignment="1"/>
    <xf numFmtId="0" fontId="0" fillId="3" borderId="0" xfId="0" applyFill="1" applyAlignment="1"/>
    <xf numFmtId="0" fontId="2" fillId="0" borderId="0" xfId="0" applyFont="1"/>
    <xf numFmtId="0" fontId="0" fillId="0" borderId="11" xfId="0" applyFont="1" applyBorder="1"/>
    <xf numFmtId="164" fontId="0" fillId="0" borderId="19" xfId="0" applyNumberFormat="1" applyFont="1" applyBorder="1"/>
    <xf numFmtId="164" fontId="0" fillId="0" borderId="11" xfId="0" applyNumberFormat="1" applyFont="1" applyBorder="1"/>
    <xf numFmtId="0" fontId="0" fillId="0" borderId="19" xfId="0" applyFont="1" applyBorder="1"/>
    <xf numFmtId="0" fontId="0" fillId="0" borderId="6" xfId="0" applyFont="1" applyBorder="1"/>
    <xf numFmtId="0" fontId="4" fillId="4" borderId="0" xfId="0" applyFont="1" applyFill="1" applyBorder="1" applyAlignment="1">
      <alignment horizontal="center" vertical="center" wrapText="1"/>
    </xf>
    <xf numFmtId="0" fontId="0" fillId="0" borderId="14" xfId="0" applyBorder="1"/>
    <xf numFmtId="0" fontId="0" fillId="3" borderId="14" xfId="0" applyFill="1" applyBorder="1" applyAlignment="1"/>
    <xf numFmtId="164" fontId="0" fillId="0" borderId="14" xfId="0" applyNumberFormat="1" applyBorder="1"/>
    <xf numFmtId="164" fontId="0" fillId="0" borderId="14" xfId="0" applyNumberFormat="1" applyFill="1" applyBorder="1"/>
    <xf numFmtId="0" fontId="0" fillId="0" borderId="0" xfId="0" applyAlignment="1">
      <alignment wrapTex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0" fontId="0" fillId="0" borderId="14" xfId="0" applyNumberFormat="1" applyBorder="1"/>
    <xf numFmtId="0" fontId="0" fillId="3" borderId="14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0" fillId="0" borderId="0" xfId="0" applyBorder="1"/>
    <xf numFmtId="0" fontId="0" fillId="0" borderId="0" xfId="0" applyAlignment="1"/>
    <xf numFmtId="164" fontId="0" fillId="5" borderId="35" xfId="0" applyNumberFormat="1" applyFill="1" applyBorder="1"/>
    <xf numFmtId="0" fontId="0" fillId="7" borderId="31" xfId="0" applyFill="1" applyBorder="1"/>
    <xf numFmtId="10" fontId="0" fillId="6" borderId="35" xfId="0" applyNumberFormat="1" applyFill="1" applyBorder="1"/>
    <xf numFmtId="10" fontId="0" fillId="6" borderId="14" xfId="0" applyNumberFormat="1" applyFill="1" applyBorder="1" applyAlignment="1">
      <alignment vertical="center"/>
    </xf>
    <xf numFmtId="10" fontId="0" fillId="5" borderId="35" xfId="0" applyNumberFormat="1" applyFill="1" applyBorder="1"/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8" xfId="0" applyFill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right"/>
    </xf>
    <xf numFmtId="0" fontId="0" fillId="6" borderId="38" xfId="0" applyFill="1" applyBorder="1" applyAlignment="1">
      <alignment horizontal="center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0" fillId="7" borderId="32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14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35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0" borderId="0" xfId="0" pivotButton="1"/>
    <xf numFmtId="3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 vertical="center" wrapText="1"/>
    </xf>
    <xf numFmtId="165" fontId="0" fillId="0" borderId="0" xfId="0" pivotButton="1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pivotButton="1" applyNumberFormat="1" applyBorder="1" applyAlignment="1">
      <alignment horizontal="center"/>
    </xf>
    <xf numFmtId="166" fontId="0" fillId="0" borderId="0" xfId="0" pivotButton="1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207">
    <dxf>
      <font>
        <color theme="4" tint="0.79998168889431442"/>
      </font>
    </dxf>
    <dxf>
      <font>
        <color auto="1"/>
      </font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font>
        <b val="0"/>
        <i val="0"/>
        <color theme="4" tint="0.79998168889431442"/>
      </font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ont>
        <color rgb="FF000000"/>
      </font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numFmt numFmtId="166" formatCode="0.00%;\-0.00%;&quot;&quot;"/>
    </dxf>
    <dxf>
      <font>
        <b val="0"/>
        <i val="0"/>
        <color theme="4" tint="0.79998168889431442"/>
      </font>
    </dxf>
    <dxf>
      <font>
        <b val="0"/>
        <i val="0"/>
        <color theme="4" tint="0.79998168889431442"/>
      </font>
    </dxf>
    <dxf>
      <font>
        <b val="0"/>
        <i val="0"/>
        <color theme="4" tint="0.79998168889431442"/>
      </font>
    </dxf>
    <dxf>
      <font>
        <b val="0"/>
        <i val="0"/>
        <color theme="4" tint="0.79998168889431442"/>
      </font>
    </dxf>
    <dxf>
      <numFmt numFmtId="165" formatCode="#,##0;\-#,##0;&quot;&quot;"/>
    </dxf>
    <dxf>
      <font>
        <color theme="4" tint="-0.24994659260841701"/>
      </font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numFmt numFmtId="165" formatCode="#,##0;\-#,##0;&quot;&quot;"/>
    </dxf>
    <dxf>
      <alignment horizontal="center"/>
    </dxf>
    <dxf>
      <alignment vertical="center"/>
    </dxf>
    <dxf>
      <alignment wrapText="1"/>
    </dxf>
    <dxf>
      <numFmt numFmtId="164" formatCode="#,##0.00\ &quot;€&quot;"/>
    </dxf>
    <dxf>
      <numFmt numFmtId="164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top style="thin">
          <color theme="1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00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onnections" Target="connection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[suivi-des-approvisionnements-version-amelio-test.xlsx]Tableau!Tableau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2025371828521432E-2"/>
          <c:y val="0.14712744240303297"/>
          <c:w val="0.54084383202099739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Tableau!$C$18</c:f>
              <c:strCache>
                <c:ptCount val="1"/>
                <c:pt idx="0">
                  <c:v>Produits sans spécifications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Tableau!$C$19:$C$28</c:f>
              <c:numCache>
                <c:formatCode>#\ ##0.00\ "€"</c:formatCode>
                <c:ptCount val="9"/>
                <c:pt idx="0">
                  <c:v>115</c:v>
                </c:pt>
                <c:pt idx="7">
                  <c:v>25</c:v>
                </c:pt>
                <c:pt idx="8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30-47D3-815B-B9E8AE9991D0}"/>
            </c:ext>
          </c:extLst>
        </c:ser>
        <c:ser>
          <c:idx val="1"/>
          <c:order val="1"/>
          <c:tx>
            <c:strRef>
              <c:f>Tableau!$D$18</c:f>
              <c:strCache>
                <c:ptCount val="1"/>
                <c:pt idx="0">
                  <c:v>BIO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Tableau!$D$19:$D$28</c:f>
              <c:numCache>
                <c:formatCode>#\ ##0.00\ "€"</c:formatCode>
                <c:ptCount val="9"/>
                <c:pt idx="0">
                  <c:v>22</c:v>
                </c:pt>
                <c:pt idx="2">
                  <c:v>23</c:v>
                </c:pt>
                <c:pt idx="4">
                  <c:v>112</c:v>
                </c:pt>
                <c:pt idx="5">
                  <c:v>102</c:v>
                </c:pt>
                <c:pt idx="7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30-47D3-815B-B9E8AE9991D0}"/>
            </c:ext>
          </c:extLst>
        </c:ser>
        <c:ser>
          <c:idx val="2"/>
          <c:order val="2"/>
          <c:tx>
            <c:strRef>
              <c:f>Tableau!$E$18</c:f>
              <c:strCache>
                <c:ptCount val="1"/>
                <c:pt idx="0">
                  <c:v>LOCAL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Tableau!$E$19:$E$28</c:f>
              <c:numCache>
                <c:formatCode>#\ ##0.00\ "€"</c:formatCode>
                <c:ptCount val="9"/>
                <c:pt idx="2">
                  <c:v>35</c:v>
                </c:pt>
                <c:pt idx="4">
                  <c:v>54</c:v>
                </c:pt>
                <c:pt idx="5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30-47D3-815B-B9E8AE9991D0}"/>
            </c:ext>
          </c:extLst>
        </c:ser>
        <c:ser>
          <c:idx val="3"/>
          <c:order val="3"/>
          <c:tx>
            <c:strRef>
              <c:f>Tableau!$F$18</c:f>
              <c:strCache>
                <c:ptCount val="1"/>
                <c:pt idx="0">
                  <c:v>HVE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Tableau!$F$19:$F$28</c:f>
              <c:numCache>
                <c:formatCode>#\ ##0.00\ "€"</c:formatCode>
                <c:ptCount val="9"/>
                <c:pt idx="4">
                  <c:v>24</c:v>
                </c:pt>
                <c:pt idx="5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30-47D3-815B-B9E8AE9991D0}"/>
            </c:ext>
          </c:extLst>
        </c:ser>
        <c:ser>
          <c:idx val="4"/>
          <c:order val="4"/>
          <c:tx>
            <c:strRef>
              <c:f>Tableau!$G$18</c:f>
              <c:strCache>
                <c:ptCount val="1"/>
                <c:pt idx="0">
                  <c:v>SIQO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Tableau!$G$19:$G$28</c:f>
              <c:numCache>
                <c:formatCode>#\ ##0.00\ "€"</c:formatCode>
                <c:ptCount val="9"/>
                <c:pt idx="0">
                  <c:v>22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30-47D3-815B-B9E8AE9991D0}"/>
            </c:ext>
          </c:extLst>
        </c:ser>
        <c:ser>
          <c:idx val="5"/>
          <c:order val="5"/>
          <c:tx>
            <c:strRef>
              <c:f>Tableau!$H$18</c:f>
              <c:strCache>
                <c:ptCount val="1"/>
                <c:pt idx="0">
                  <c:v>Produit fermier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Tableau!$H$19:$H$28</c:f>
              <c:numCache>
                <c:formatCode>#\ ##0.00\ "€"</c:formatCode>
                <c:ptCount val="9"/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30-47D3-815B-B9E8AE9991D0}"/>
            </c:ext>
          </c:extLst>
        </c:ser>
        <c:ser>
          <c:idx val="6"/>
          <c:order val="6"/>
          <c:tx>
            <c:strRef>
              <c:f>Tableau!$I$18</c:f>
              <c:strCache>
                <c:ptCount val="1"/>
                <c:pt idx="0">
                  <c:v>Ecolabel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Tableau!$I$19:$I$28</c:f>
              <c:numCache>
                <c:formatCode>#\ ##0.00\ "€"</c:formatCode>
                <c:ptCount val="9"/>
                <c:pt idx="6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30-47D3-815B-B9E8AE9991D0}"/>
            </c:ext>
          </c:extLst>
        </c:ser>
        <c:ser>
          <c:idx val="7"/>
          <c:order val="7"/>
          <c:tx>
            <c:strRef>
              <c:f>Tableau!$J$18</c:f>
              <c:strCache>
                <c:ptCount val="1"/>
                <c:pt idx="0">
                  <c:v>Autres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Tableau!$J$19:$J$28</c:f>
              <c:numCache>
                <c:formatCode>#\ ##0.00\ "€"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7-A630-47D3-815B-B9E8AE999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3847048"/>
        <c:axId val="443851640"/>
      </c:barChart>
      <c:catAx>
        <c:axId val="443847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51640"/>
        <c:crosses val="autoZero"/>
        <c:auto val="1"/>
        <c:lblAlgn val="ctr"/>
        <c:lblOffset val="100"/>
        <c:noMultiLvlLbl val="0"/>
      </c:catAx>
      <c:valAx>
        <c:axId val="443851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47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898031496062992"/>
          <c:y val="0.16051983085447655"/>
          <c:w val="0.32435301837270336"/>
          <c:h val="0.637293307086614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114300</xdr:rowOff>
    </xdr:from>
    <xdr:to>
      <xdr:col>4</xdr:col>
      <xdr:colOff>904321</xdr:colOff>
      <xdr:row>2</xdr:row>
      <xdr:rowOff>504729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F9429A-1833-4B97-808E-B791DB28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14300"/>
          <a:ext cx="4428571" cy="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16</xdr:row>
      <xdr:rowOff>23812</xdr:rowOff>
    </xdr:from>
    <xdr:to>
      <xdr:col>17</xdr:col>
      <xdr:colOff>161925</xdr:colOff>
      <xdr:row>28</xdr:row>
      <xdr:rowOff>100012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C3A8308-A379-45F6-9A0D-00DF7D5B40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15.080557291665" createdVersion="6" refreshedVersion="6" minRefreshableVersion="3" recordCount="18" xr:uid="{EDF0F114-594A-42C4-A91F-E2E91BEC7E16}">
  <cacheSource type="worksheet">
    <worksheetSource name="Tableau2"/>
  </cacheSource>
  <cacheFields count="19">
    <cacheField name="Date " numFmtId="0">
      <sharedItems containsNonDate="0" containsString="0" containsBlank="1"/>
    </cacheField>
    <cacheField name="n°du bon de livraison" numFmtId="0">
      <sharedItems containsNonDate="0" containsString="0" containsBlank="1"/>
    </cacheField>
    <cacheField name="Fournisseur " numFmtId="0">
      <sharedItems containsNonDate="0" containsString="0" containsBlank="1"/>
    </cacheField>
    <cacheField name="Type de produits" numFmtId="0">
      <sharedItems/>
    </cacheField>
    <cacheField name="Produit " numFmtId="0">
      <sharedItems/>
    </cacheField>
    <cacheField name="Gamme " numFmtId="0">
      <sharedItems containsBlank="1" count="10">
        <s v="Viandes "/>
        <s v="Volailles"/>
        <s v="BOF"/>
        <s v="Poissons"/>
        <s v="Epicerie"/>
        <s v="Fruits"/>
        <s v="Légumes"/>
        <s v="Boisson"/>
        <s v="Charcuterie Traiteur"/>
        <m u="1"/>
      </sharedItems>
    </cacheField>
    <cacheField name="Produits sans spécifications" numFmtId="164">
      <sharedItems containsString="0" containsBlank="1" containsNumber="1" containsInteger="1" minValue="25" maxValue="86"/>
    </cacheField>
    <cacheField name="BIO " numFmtId="164">
      <sharedItems containsString="0" containsBlank="1" containsNumber="1" containsInteger="1" minValue="22" maxValue="120"/>
    </cacheField>
    <cacheField name="LOCAL Prix" numFmtId="164">
      <sharedItems containsString="0" containsBlank="1" containsNumber="1" containsInteger="1" minValue="12" maxValue="54"/>
    </cacheField>
    <cacheField name="LOCAL Libellé" numFmtId="164">
      <sharedItems containsBlank="1"/>
    </cacheField>
    <cacheField name="HVE " numFmtId="164">
      <sharedItems containsString="0" containsBlank="1" containsNumber="1" containsInteger="1" minValue="24" maxValue="35"/>
    </cacheField>
    <cacheField name="SIQO Prix" numFmtId="164">
      <sharedItems containsString="0" containsBlank="1" containsNumber="1" containsInteger="1" minValue="22" maxValue="22"/>
    </cacheField>
    <cacheField name="SIQO Libellé" numFmtId="164">
      <sharedItems/>
    </cacheField>
    <cacheField name="Produit fermier" numFmtId="164">
      <sharedItems containsString="0" containsBlank="1" containsNumber="1" containsInteger="1" minValue="100" maxValue="125"/>
    </cacheField>
    <cacheField name="Ecolabel " numFmtId="164">
      <sharedItems containsString="0" containsBlank="1" containsNumber="1" containsInteger="1" minValue="24" maxValue="54"/>
    </cacheField>
    <cacheField name="Autres 1" numFmtId="0">
      <sharedItems containsNonDate="0" containsString="0" containsBlank="1"/>
    </cacheField>
    <cacheField name="Autres 2" numFmtId="0">
      <sharedItems containsNonDate="0" containsString="0" containsBlank="1"/>
    </cacheField>
    <cacheField name="Autres 3" numFmtId="0">
      <sharedItems containsNonDate="0" containsString="0" containsBlank="1"/>
    </cacheField>
    <cacheField name="Autres 4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15.080557638888" backgroundQuery="1" createdVersion="6" refreshedVersion="6" minRefreshableVersion="3" recordCount="72" xr:uid="{A88C4089-DD0E-44C7-BCBF-7B9827451D09}">
  <cacheSource type="external" connectionId="4"/>
  <cacheFields count="3">
    <cacheField name="Gamme " numFmtId="0">
      <sharedItems count="9">
        <s v="Viandes "/>
        <s v="Volailles"/>
        <s v="BOF"/>
        <s v="Poissons"/>
        <s v="Epicerie"/>
        <s v="Fruits"/>
        <s v="Légumes"/>
        <s v="Boisson"/>
        <s v="Charcuterie Traiteur"/>
      </sharedItems>
    </cacheField>
    <cacheField name="Produit" numFmtId="0">
      <sharedItems count="8">
        <s v="Non spécifié"/>
        <s v="Bio "/>
        <s v="Local"/>
        <s v="HVE"/>
        <s v="SIQO"/>
        <s v="Fermier"/>
        <s v="Ecolabel"/>
        <s v="Autres"/>
      </sharedItems>
    </cacheField>
    <cacheField name="Montant" numFmtId="0">
      <sharedItems containsSemiMixedTypes="0" containsString="0" containsNumber="1" containsInteger="1" minValue="0" maxValue="225" count="15">
        <n v="25"/>
        <n v="120"/>
        <n v="0"/>
        <n v="161"/>
        <n v="225"/>
        <n v="115"/>
        <n v="22"/>
        <n v="78"/>
        <n v="112"/>
        <n v="54"/>
        <n v="24"/>
        <n v="102"/>
        <n v="57"/>
        <n v="35"/>
        <n v="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15.084083217589" backgroundQuery="1" createdVersion="6" refreshedVersion="6" minRefreshableVersion="3" recordCount="72" xr:uid="{E218A686-A7EA-4F76-85AC-284A047016A0}">
  <cacheSource type="external" connectionId="2"/>
  <cacheFields count="4">
    <cacheField name="Gamme " numFmtId="0">
      <sharedItems count="9">
        <s v="BOF"/>
        <s v="Boisson"/>
        <s v="Charcuterie Traiteur"/>
        <s v="Epicerie"/>
        <s v="Fruits"/>
        <s v="Légumes"/>
        <s v="Poissons"/>
        <s v="Viandes "/>
        <s v="Volailles"/>
      </sharedItems>
    </cacheField>
    <cacheField name="Produit" numFmtId="0">
      <sharedItems count="8">
        <s v="Autres 1"/>
        <s v="BIO "/>
        <s v="Ecolabel "/>
        <s v="HVE "/>
        <s v="LOCAL Prix"/>
        <s v="Produit fermier"/>
        <s v="Produits sans spécifications"/>
        <s v="SIQO Prix"/>
      </sharedItems>
    </cacheField>
    <cacheField name="Montant" numFmtId="0">
      <sharedItems containsSemiMixedTypes="0" containsString="0" containsNumber="1" containsInteger="1" minValue="0" maxValue="225" count="15">
        <n v="0"/>
        <n v="22"/>
        <n v="115"/>
        <n v="23"/>
        <n v="35"/>
        <n v="112"/>
        <n v="24"/>
        <n v="54"/>
        <n v="102"/>
        <n v="57"/>
        <n v="78"/>
        <n v="120"/>
        <n v="25"/>
        <n v="225"/>
        <n v="161"/>
      </sharedItems>
    </cacheField>
    <cacheField name="% Gamme" numFmtId="0">
      <sharedItems containsString="0" containsBlank="1" containsNumber="1" minValue="0" maxValue="1" count="18">
        <n v="0"/>
        <n v="0.138364779874214"/>
        <n v="0.72327044025157206"/>
        <m/>
        <n v="0.39655172413793099"/>
        <n v="0.60344827586206895"/>
        <n v="0.58947368421052604"/>
        <n v="0.12631578947368399"/>
        <n v="0.28421052631579002"/>
        <n v="0.47222222222222199"/>
        <n v="0.16203703703703701"/>
        <n v="0.26388888888888901"/>
        <n v="0.101851851851852"/>
        <n v="1"/>
        <n v="0.82758620689655205"/>
        <n v="0.17241379310344801"/>
        <n v="0.58290155440414504"/>
        <n v="0.417098445595855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15.096688078702" backgroundQuery="1" createdVersion="6" refreshedVersion="6" minRefreshableVersion="3" recordCount="88" xr:uid="{CA0D8516-74A7-45E2-8BEA-E04DDE5212EC}">
  <cacheSource type="external" connectionId="3"/>
  <cacheFields count="4">
    <cacheField name="Gamme " numFmtId="0">
      <sharedItems count="9">
        <s v="BOF"/>
        <s v="Boisson"/>
        <s v="Charcuterie Traiteur"/>
        <s v="Epicerie"/>
        <s v="Fruits"/>
        <s v="Légumes"/>
        <s v="Poissons"/>
        <s v="Viandes "/>
        <s v="Volailles"/>
      </sharedItems>
    </cacheField>
    <cacheField name="Produit" numFmtId="0">
      <sharedItems count="8">
        <s v="Autres 1"/>
        <s v="BIO "/>
        <s v="Ecolabel "/>
        <s v="HVE "/>
        <s v="LOCAL Prix"/>
        <s v="Produit fermier"/>
        <s v="Produits sans spécifications"/>
        <s v="SIQO Prix"/>
      </sharedItems>
    </cacheField>
    <cacheField name="Montant" numFmtId="0">
      <sharedItems containsSemiMixedTypes="0" containsString="0" containsNumber="1" containsInteger="1" minValue="0" maxValue="125" count="17">
        <n v="0"/>
        <n v="22"/>
        <n v="23"/>
        <n v="112"/>
        <n v="102"/>
        <n v="120"/>
        <n v="78"/>
        <n v="24"/>
        <n v="35"/>
        <n v="54"/>
        <n v="57"/>
        <n v="125"/>
        <n v="100"/>
        <n v="115"/>
        <n v="25"/>
        <n v="75"/>
        <n v="86"/>
      </sharedItems>
    </cacheField>
    <cacheField name="% Produit" numFmtId="0">
      <sharedItems containsString="0" containsBlank="1" containsNumber="1" minValue="0" maxValue="1" count="20">
        <m/>
        <n v="5.8047493403693903E-2"/>
        <n v="0"/>
        <n v="6.0686015831134602E-2"/>
        <n v="0.29551451187335098"/>
        <n v="0.269129287598945"/>
        <n v="0.31662269129287601"/>
        <n v="1"/>
        <n v="0.40677966101694901"/>
        <n v="0.59322033898305104"/>
        <n v="0.23972602739726001"/>
        <n v="0.36986301369863001"/>
        <n v="0.39041095890410998"/>
        <n v="0.55555555555555602"/>
        <n v="0.44444444444444398"/>
        <n v="0.382059800664452"/>
        <n v="8.3056478405315604E-2"/>
        <n v="0.249169435215947"/>
        <n v="0.28571428571428598"/>
        <n v="0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15.103201967591" backgroundQuery="1" createdVersion="6" refreshedVersion="6" minRefreshableVersion="3" recordCount="9" xr:uid="{53F7DA59-3691-41BA-A88C-1EA82D42164B}">
  <cacheSource type="external" connectionId="6"/>
  <cacheFields count="6">
    <cacheField name="Gamme " numFmtId="0">
      <sharedItems count="9">
        <s v="BOF"/>
        <s v="Boisson"/>
        <s v="Charcuterie Traiteur"/>
        <s v="Epicerie"/>
        <s v="Fruits"/>
        <s v="Légumes"/>
        <s v="Poissons"/>
        <s v="Viandes "/>
        <s v="Volailles"/>
      </sharedItems>
    </cacheField>
    <cacheField name="Montant" numFmtId="0">
      <sharedItems containsSemiMixedTypes="0" containsString="0" containsNumber="1" containsInteger="1" minValue="0" maxValue="386" count="8">
        <n v="159"/>
        <n v="0"/>
        <n v="58"/>
        <n v="190"/>
        <n v="216"/>
        <n v="78"/>
        <n v="145"/>
        <n v="386"/>
      </sharedItems>
    </cacheField>
    <cacheField name="Mt Frais" numFmtId="0">
      <sharedItems containsSemiMixedTypes="0" containsString="0" containsNumber="1" containsInteger="1" minValue="0" maxValue="216" count="7">
        <n v="159"/>
        <n v="0"/>
        <n v="35"/>
        <n v="190"/>
        <n v="216"/>
        <n v="145"/>
        <n v="211"/>
      </sharedItems>
    </cacheField>
    <cacheField name="Mt Surgelé" numFmtId="0">
      <sharedItems containsSemiMixedTypes="0" containsString="0" containsNumber="1" containsInteger="1" minValue="0" maxValue="175" count="4">
        <n v="0"/>
        <n v="23"/>
        <n v="78"/>
        <n v="175"/>
      </sharedItems>
    </cacheField>
    <cacheField name="% Frais" numFmtId="0">
      <sharedItems containsString="0" containsBlank="1" containsNumber="1" minValue="0" maxValue="1" count="5">
        <n v="1"/>
        <m/>
        <n v="0.60344827586206895"/>
        <n v="0"/>
        <n v="0.54663212435233199"/>
      </sharedItems>
    </cacheField>
    <cacheField name="% Surgelé" numFmtId="0">
      <sharedItems containsString="0" containsBlank="1" containsNumber="1" minValue="0" maxValue="1" count="5">
        <n v="0"/>
        <m/>
        <n v="0.39655172413793099"/>
        <n v="1"/>
        <n v="0.453367875647668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m/>
    <m/>
    <m/>
    <s v="Frais"/>
    <s v="Rôti"/>
    <x v="0"/>
    <n v="25"/>
    <m/>
    <m/>
    <m/>
    <m/>
    <m/>
    <s v="AOP"/>
    <m/>
    <m/>
    <m/>
    <m/>
    <m/>
    <n v="1"/>
  </r>
  <r>
    <m/>
    <m/>
    <m/>
    <s v="Frais"/>
    <s v="Cuisse de poulet"/>
    <x v="1"/>
    <n v="86"/>
    <m/>
    <m/>
    <m/>
    <m/>
    <m/>
    <s v="AOP"/>
    <n v="125"/>
    <m/>
    <m/>
    <m/>
    <m/>
    <n v="1"/>
  </r>
  <r>
    <m/>
    <m/>
    <m/>
    <s v="Surgelé"/>
    <s v="Dinde"/>
    <x v="1"/>
    <n v="75"/>
    <m/>
    <m/>
    <m/>
    <m/>
    <m/>
    <s v="AOP"/>
    <n v="100"/>
    <m/>
    <m/>
    <m/>
    <m/>
    <n v="1"/>
  </r>
  <r>
    <m/>
    <m/>
    <m/>
    <s v="Frais"/>
    <s v="Yaourth aux fruits"/>
    <x v="2"/>
    <n v="58"/>
    <m/>
    <m/>
    <m/>
    <m/>
    <m/>
    <s v="AOP"/>
    <m/>
    <m/>
    <m/>
    <m/>
    <m/>
    <n v="1"/>
  </r>
  <r>
    <m/>
    <m/>
    <m/>
    <s v="Frais"/>
    <s v="Fromage frais"/>
    <x v="2"/>
    <n v="57"/>
    <m/>
    <m/>
    <m/>
    <m/>
    <m/>
    <s v="AOP"/>
    <m/>
    <m/>
    <m/>
    <m/>
    <m/>
    <n v="1"/>
  </r>
  <r>
    <m/>
    <m/>
    <m/>
    <s v="Frais"/>
    <s v="GOUDA"/>
    <x v="2"/>
    <m/>
    <n v="22"/>
    <m/>
    <m/>
    <m/>
    <n v="22"/>
    <s v="AOP"/>
    <m/>
    <m/>
    <m/>
    <m/>
    <m/>
    <n v="1"/>
  </r>
  <r>
    <m/>
    <m/>
    <m/>
    <s v="Surgelé"/>
    <s v="Cabillau"/>
    <x v="3"/>
    <m/>
    <m/>
    <m/>
    <m/>
    <m/>
    <m/>
    <s v="AOP"/>
    <m/>
    <n v="54"/>
    <m/>
    <m/>
    <m/>
    <n v="1"/>
  </r>
  <r>
    <m/>
    <m/>
    <m/>
    <s v="Surgelé"/>
    <s v="Truite"/>
    <x v="3"/>
    <m/>
    <m/>
    <m/>
    <m/>
    <m/>
    <m/>
    <s v="AOP"/>
    <m/>
    <n v="24"/>
    <m/>
    <m/>
    <m/>
    <n v="1"/>
  </r>
  <r>
    <m/>
    <m/>
    <m/>
    <s v="Frais"/>
    <s v="Entrecote"/>
    <x v="0"/>
    <m/>
    <n v="120"/>
    <m/>
    <m/>
    <m/>
    <m/>
    <s v="LABEL ROUGE"/>
    <m/>
    <m/>
    <m/>
    <m/>
    <m/>
    <n v="1"/>
  </r>
  <r>
    <m/>
    <m/>
    <m/>
    <s v="Frais"/>
    <s v="Vinaigrette"/>
    <x v="4"/>
    <m/>
    <m/>
    <m/>
    <m/>
    <m/>
    <m/>
    <s v="AOP"/>
    <m/>
    <m/>
    <m/>
    <m/>
    <m/>
    <n v="1"/>
  </r>
  <r>
    <m/>
    <m/>
    <m/>
    <s v="Frais"/>
    <s v="Pomme"/>
    <x v="5"/>
    <m/>
    <n v="52"/>
    <n v="54"/>
    <m/>
    <n v="24"/>
    <m/>
    <s v="AOP"/>
    <m/>
    <m/>
    <m/>
    <m/>
    <m/>
    <n v="1"/>
  </r>
  <r>
    <m/>
    <m/>
    <m/>
    <s v="Frais"/>
    <s v="Clementine"/>
    <x v="5"/>
    <m/>
    <n v="60"/>
    <m/>
    <m/>
    <m/>
    <m/>
    <s v="AOP"/>
    <m/>
    <m/>
    <m/>
    <m/>
    <m/>
    <n v="1"/>
  </r>
  <r>
    <m/>
    <m/>
    <m/>
    <s v="Frais"/>
    <s v="Courgette"/>
    <x v="6"/>
    <m/>
    <n v="45"/>
    <n v="23"/>
    <s v="Fruits et légumes de ma région"/>
    <m/>
    <n v="22"/>
    <s v="AOP"/>
    <m/>
    <m/>
    <m/>
    <m/>
    <m/>
    <n v="1"/>
  </r>
  <r>
    <m/>
    <m/>
    <m/>
    <s v="Frais"/>
    <s v="Haricots"/>
    <x v="6"/>
    <m/>
    <n v="25"/>
    <n v="22"/>
    <s v="Fruits et légumes de ma région"/>
    <n v="35"/>
    <m/>
    <s v="IGP"/>
    <m/>
    <m/>
    <m/>
    <m/>
    <m/>
    <n v="1"/>
  </r>
  <r>
    <m/>
    <m/>
    <m/>
    <s v="Frais"/>
    <s v="Pommes de terres"/>
    <x v="6"/>
    <m/>
    <n v="32"/>
    <n v="12"/>
    <s v="100% LOCAL"/>
    <m/>
    <m/>
    <s v="AOP"/>
    <m/>
    <m/>
    <m/>
    <m/>
    <m/>
    <n v="1"/>
  </r>
  <r>
    <m/>
    <m/>
    <m/>
    <s v="Frais"/>
    <s v="Eau pétillante"/>
    <x v="7"/>
    <m/>
    <m/>
    <m/>
    <m/>
    <m/>
    <m/>
    <s v="AOC"/>
    <m/>
    <m/>
    <m/>
    <m/>
    <m/>
    <n v="1"/>
  </r>
  <r>
    <m/>
    <m/>
    <m/>
    <s v="Frais"/>
    <s v="Papillote de fromage"/>
    <x v="8"/>
    <m/>
    <m/>
    <n v="35"/>
    <m/>
    <m/>
    <m/>
    <s v="AOP"/>
    <m/>
    <m/>
    <m/>
    <m/>
    <m/>
    <n v="1"/>
  </r>
  <r>
    <m/>
    <m/>
    <m/>
    <s v="Surgelé"/>
    <s v="Quiche"/>
    <x v="8"/>
    <m/>
    <n v="23"/>
    <m/>
    <m/>
    <m/>
    <m/>
    <s v="AOP"/>
    <m/>
    <m/>
    <m/>
    <m/>
    <m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x v="0"/>
  </r>
  <r>
    <x v="0"/>
    <x v="1"/>
    <x v="1"/>
  </r>
  <r>
    <x v="0"/>
    <x v="2"/>
    <x v="2"/>
  </r>
  <r>
    <x v="0"/>
    <x v="3"/>
    <x v="2"/>
  </r>
  <r>
    <x v="0"/>
    <x v="4"/>
    <x v="2"/>
  </r>
  <r>
    <x v="0"/>
    <x v="5"/>
    <x v="2"/>
  </r>
  <r>
    <x v="0"/>
    <x v="6"/>
    <x v="2"/>
  </r>
  <r>
    <x v="0"/>
    <x v="7"/>
    <x v="2"/>
  </r>
  <r>
    <x v="1"/>
    <x v="0"/>
    <x v="3"/>
  </r>
  <r>
    <x v="1"/>
    <x v="1"/>
    <x v="2"/>
  </r>
  <r>
    <x v="1"/>
    <x v="2"/>
    <x v="2"/>
  </r>
  <r>
    <x v="1"/>
    <x v="3"/>
    <x v="2"/>
  </r>
  <r>
    <x v="1"/>
    <x v="4"/>
    <x v="2"/>
  </r>
  <r>
    <x v="1"/>
    <x v="5"/>
    <x v="4"/>
  </r>
  <r>
    <x v="1"/>
    <x v="6"/>
    <x v="2"/>
  </r>
  <r>
    <x v="1"/>
    <x v="7"/>
    <x v="2"/>
  </r>
  <r>
    <x v="2"/>
    <x v="0"/>
    <x v="5"/>
  </r>
  <r>
    <x v="2"/>
    <x v="1"/>
    <x v="6"/>
  </r>
  <r>
    <x v="2"/>
    <x v="2"/>
    <x v="2"/>
  </r>
  <r>
    <x v="2"/>
    <x v="3"/>
    <x v="2"/>
  </r>
  <r>
    <x v="2"/>
    <x v="4"/>
    <x v="6"/>
  </r>
  <r>
    <x v="2"/>
    <x v="5"/>
    <x v="2"/>
  </r>
  <r>
    <x v="2"/>
    <x v="6"/>
    <x v="2"/>
  </r>
  <r>
    <x v="2"/>
    <x v="7"/>
    <x v="2"/>
  </r>
  <r>
    <x v="3"/>
    <x v="0"/>
    <x v="2"/>
  </r>
  <r>
    <x v="3"/>
    <x v="1"/>
    <x v="2"/>
  </r>
  <r>
    <x v="3"/>
    <x v="2"/>
    <x v="2"/>
  </r>
  <r>
    <x v="3"/>
    <x v="3"/>
    <x v="2"/>
  </r>
  <r>
    <x v="3"/>
    <x v="4"/>
    <x v="2"/>
  </r>
  <r>
    <x v="3"/>
    <x v="5"/>
    <x v="2"/>
  </r>
  <r>
    <x v="3"/>
    <x v="6"/>
    <x v="7"/>
  </r>
  <r>
    <x v="3"/>
    <x v="7"/>
    <x v="2"/>
  </r>
  <r>
    <x v="4"/>
    <x v="0"/>
    <x v="2"/>
  </r>
  <r>
    <x v="4"/>
    <x v="1"/>
    <x v="2"/>
  </r>
  <r>
    <x v="4"/>
    <x v="2"/>
    <x v="2"/>
  </r>
  <r>
    <x v="4"/>
    <x v="3"/>
    <x v="2"/>
  </r>
  <r>
    <x v="4"/>
    <x v="4"/>
    <x v="2"/>
  </r>
  <r>
    <x v="4"/>
    <x v="5"/>
    <x v="2"/>
  </r>
  <r>
    <x v="4"/>
    <x v="6"/>
    <x v="2"/>
  </r>
  <r>
    <x v="4"/>
    <x v="7"/>
    <x v="2"/>
  </r>
  <r>
    <x v="5"/>
    <x v="0"/>
    <x v="2"/>
  </r>
  <r>
    <x v="5"/>
    <x v="1"/>
    <x v="8"/>
  </r>
  <r>
    <x v="5"/>
    <x v="2"/>
    <x v="9"/>
  </r>
  <r>
    <x v="5"/>
    <x v="3"/>
    <x v="10"/>
  </r>
  <r>
    <x v="5"/>
    <x v="4"/>
    <x v="2"/>
  </r>
  <r>
    <x v="5"/>
    <x v="5"/>
    <x v="2"/>
  </r>
  <r>
    <x v="5"/>
    <x v="6"/>
    <x v="2"/>
  </r>
  <r>
    <x v="5"/>
    <x v="7"/>
    <x v="2"/>
  </r>
  <r>
    <x v="6"/>
    <x v="0"/>
    <x v="2"/>
  </r>
  <r>
    <x v="6"/>
    <x v="1"/>
    <x v="11"/>
  </r>
  <r>
    <x v="6"/>
    <x v="2"/>
    <x v="12"/>
  </r>
  <r>
    <x v="6"/>
    <x v="3"/>
    <x v="13"/>
  </r>
  <r>
    <x v="6"/>
    <x v="4"/>
    <x v="6"/>
  </r>
  <r>
    <x v="6"/>
    <x v="5"/>
    <x v="2"/>
  </r>
  <r>
    <x v="6"/>
    <x v="6"/>
    <x v="2"/>
  </r>
  <r>
    <x v="6"/>
    <x v="7"/>
    <x v="2"/>
  </r>
  <r>
    <x v="7"/>
    <x v="0"/>
    <x v="2"/>
  </r>
  <r>
    <x v="7"/>
    <x v="1"/>
    <x v="2"/>
  </r>
  <r>
    <x v="7"/>
    <x v="2"/>
    <x v="2"/>
  </r>
  <r>
    <x v="7"/>
    <x v="3"/>
    <x v="2"/>
  </r>
  <r>
    <x v="7"/>
    <x v="4"/>
    <x v="2"/>
  </r>
  <r>
    <x v="7"/>
    <x v="5"/>
    <x v="2"/>
  </r>
  <r>
    <x v="7"/>
    <x v="6"/>
    <x v="2"/>
  </r>
  <r>
    <x v="7"/>
    <x v="7"/>
    <x v="2"/>
  </r>
  <r>
    <x v="8"/>
    <x v="0"/>
    <x v="2"/>
  </r>
  <r>
    <x v="8"/>
    <x v="1"/>
    <x v="14"/>
  </r>
  <r>
    <x v="8"/>
    <x v="2"/>
    <x v="13"/>
  </r>
  <r>
    <x v="8"/>
    <x v="3"/>
    <x v="2"/>
  </r>
  <r>
    <x v="8"/>
    <x v="4"/>
    <x v="2"/>
  </r>
  <r>
    <x v="8"/>
    <x v="5"/>
    <x v="2"/>
  </r>
  <r>
    <x v="8"/>
    <x v="6"/>
    <x v="2"/>
  </r>
  <r>
    <x v="8"/>
    <x v="7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x v="0"/>
    <x v="0"/>
  </r>
  <r>
    <x v="0"/>
    <x v="1"/>
    <x v="1"/>
    <x v="1"/>
  </r>
  <r>
    <x v="0"/>
    <x v="2"/>
    <x v="0"/>
    <x v="0"/>
  </r>
  <r>
    <x v="0"/>
    <x v="3"/>
    <x v="0"/>
    <x v="0"/>
  </r>
  <r>
    <x v="0"/>
    <x v="4"/>
    <x v="0"/>
    <x v="0"/>
  </r>
  <r>
    <x v="0"/>
    <x v="5"/>
    <x v="0"/>
    <x v="0"/>
  </r>
  <r>
    <x v="0"/>
    <x v="6"/>
    <x v="2"/>
    <x v="2"/>
  </r>
  <r>
    <x v="0"/>
    <x v="7"/>
    <x v="1"/>
    <x v="1"/>
  </r>
  <r>
    <x v="1"/>
    <x v="0"/>
    <x v="0"/>
    <x v="3"/>
  </r>
  <r>
    <x v="1"/>
    <x v="1"/>
    <x v="0"/>
    <x v="3"/>
  </r>
  <r>
    <x v="1"/>
    <x v="2"/>
    <x v="0"/>
    <x v="3"/>
  </r>
  <r>
    <x v="1"/>
    <x v="3"/>
    <x v="0"/>
    <x v="3"/>
  </r>
  <r>
    <x v="1"/>
    <x v="4"/>
    <x v="0"/>
    <x v="3"/>
  </r>
  <r>
    <x v="1"/>
    <x v="5"/>
    <x v="0"/>
    <x v="3"/>
  </r>
  <r>
    <x v="1"/>
    <x v="6"/>
    <x v="0"/>
    <x v="3"/>
  </r>
  <r>
    <x v="1"/>
    <x v="7"/>
    <x v="0"/>
    <x v="3"/>
  </r>
  <r>
    <x v="2"/>
    <x v="0"/>
    <x v="0"/>
    <x v="0"/>
  </r>
  <r>
    <x v="2"/>
    <x v="1"/>
    <x v="3"/>
    <x v="4"/>
  </r>
  <r>
    <x v="2"/>
    <x v="2"/>
    <x v="0"/>
    <x v="0"/>
  </r>
  <r>
    <x v="2"/>
    <x v="3"/>
    <x v="0"/>
    <x v="0"/>
  </r>
  <r>
    <x v="2"/>
    <x v="4"/>
    <x v="4"/>
    <x v="5"/>
  </r>
  <r>
    <x v="2"/>
    <x v="5"/>
    <x v="0"/>
    <x v="0"/>
  </r>
  <r>
    <x v="2"/>
    <x v="6"/>
    <x v="0"/>
    <x v="0"/>
  </r>
  <r>
    <x v="2"/>
    <x v="7"/>
    <x v="0"/>
    <x v="0"/>
  </r>
  <r>
    <x v="3"/>
    <x v="0"/>
    <x v="0"/>
    <x v="3"/>
  </r>
  <r>
    <x v="3"/>
    <x v="1"/>
    <x v="0"/>
    <x v="3"/>
  </r>
  <r>
    <x v="3"/>
    <x v="2"/>
    <x v="0"/>
    <x v="3"/>
  </r>
  <r>
    <x v="3"/>
    <x v="3"/>
    <x v="0"/>
    <x v="3"/>
  </r>
  <r>
    <x v="3"/>
    <x v="4"/>
    <x v="0"/>
    <x v="3"/>
  </r>
  <r>
    <x v="3"/>
    <x v="5"/>
    <x v="0"/>
    <x v="3"/>
  </r>
  <r>
    <x v="3"/>
    <x v="6"/>
    <x v="0"/>
    <x v="3"/>
  </r>
  <r>
    <x v="3"/>
    <x v="7"/>
    <x v="0"/>
    <x v="3"/>
  </r>
  <r>
    <x v="4"/>
    <x v="0"/>
    <x v="0"/>
    <x v="0"/>
  </r>
  <r>
    <x v="4"/>
    <x v="1"/>
    <x v="5"/>
    <x v="6"/>
  </r>
  <r>
    <x v="4"/>
    <x v="2"/>
    <x v="0"/>
    <x v="0"/>
  </r>
  <r>
    <x v="4"/>
    <x v="3"/>
    <x v="6"/>
    <x v="7"/>
  </r>
  <r>
    <x v="4"/>
    <x v="4"/>
    <x v="7"/>
    <x v="8"/>
  </r>
  <r>
    <x v="4"/>
    <x v="5"/>
    <x v="0"/>
    <x v="0"/>
  </r>
  <r>
    <x v="4"/>
    <x v="6"/>
    <x v="0"/>
    <x v="0"/>
  </r>
  <r>
    <x v="4"/>
    <x v="7"/>
    <x v="0"/>
    <x v="0"/>
  </r>
  <r>
    <x v="5"/>
    <x v="0"/>
    <x v="0"/>
    <x v="0"/>
  </r>
  <r>
    <x v="5"/>
    <x v="1"/>
    <x v="8"/>
    <x v="9"/>
  </r>
  <r>
    <x v="5"/>
    <x v="2"/>
    <x v="0"/>
    <x v="0"/>
  </r>
  <r>
    <x v="5"/>
    <x v="3"/>
    <x v="4"/>
    <x v="10"/>
  </r>
  <r>
    <x v="5"/>
    <x v="4"/>
    <x v="9"/>
    <x v="11"/>
  </r>
  <r>
    <x v="5"/>
    <x v="5"/>
    <x v="0"/>
    <x v="0"/>
  </r>
  <r>
    <x v="5"/>
    <x v="6"/>
    <x v="0"/>
    <x v="0"/>
  </r>
  <r>
    <x v="5"/>
    <x v="7"/>
    <x v="1"/>
    <x v="12"/>
  </r>
  <r>
    <x v="6"/>
    <x v="0"/>
    <x v="0"/>
    <x v="0"/>
  </r>
  <r>
    <x v="6"/>
    <x v="1"/>
    <x v="0"/>
    <x v="0"/>
  </r>
  <r>
    <x v="6"/>
    <x v="2"/>
    <x v="10"/>
    <x v="13"/>
  </r>
  <r>
    <x v="6"/>
    <x v="3"/>
    <x v="0"/>
    <x v="0"/>
  </r>
  <r>
    <x v="6"/>
    <x v="4"/>
    <x v="0"/>
    <x v="0"/>
  </r>
  <r>
    <x v="6"/>
    <x v="5"/>
    <x v="0"/>
    <x v="0"/>
  </r>
  <r>
    <x v="6"/>
    <x v="6"/>
    <x v="0"/>
    <x v="0"/>
  </r>
  <r>
    <x v="6"/>
    <x v="7"/>
    <x v="0"/>
    <x v="0"/>
  </r>
  <r>
    <x v="7"/>
    <x v="0"/>
    <x v="0"/>
    <x v="0"/>
  </r>
  <r>
    <x v="7"/>
    <x v="1"/>
    <x v="11"/>
    <x v="14"/>
  </r>
  <r>
    <x v="7"/>
    <x v="2"/>
    <x v="0"/>
    <x v="0"/>
  </r>
  <r>
    <x v="7"/>
    <x v="3"/>
    <x v="0"/>
    <x v="0"/>
  </r>
  <r>
    <x v="7"/>
    <x v="4"/>
    <x v="0"/>
    <x v="0"/>
  </r>
  <r>
    <x v="7"/>
    <x v="5"/>
    <x v="0"/>
    <x v="0"/>
  </r>
  <r>
    <x v="7"/>
    <x v="6"/>
    <x v="12"/>
    <x v="15"/>
  </r>
  <r>
    <x v="7"/>
    <x v="7"/>
    <x v="0"/>
    <x v="0"/>
  </r>
  <r>
    <x v="8"/>
    <x v="0"/>
    <x v="0"/>
    <x v="0"/>
  </r>
  <r>
    <x v="8"/>
    <x v="1"/>
    <x v="0"/>
    <x v="0"/>
  </r>
  <r>
    <x v="8"/>
    <x v="2"/>
    <x v="0"/>
    <x v="0"/>
  </r>
  <r>
    <x v="8"/>
    <x v="3"/>
    <x v="0"/>
    <x v="0"/>
  </r>
  <r>
    <x v="8"/>
    <x v="4"/>
    <x v="0"/>
    <x v="0"/>
  </r>
  <r>
    <x v="8"/>
    <x v="5"/>
    <x v="13"/>
    <x v="16"/>
  </r>
  <r>
    <x v="8"/>
    <x v="6"/>
    <x v="14"/>
    <x v="17"/>
  </r>
  <r>
    <x v="8"/>
    <x v="7"/>
    <x v="0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8">
  <r>
    <x v="0"/>
    <x v="0"/>
    <x v="0"/>
    <x v="0"/>
  </r>
  <r>
    <x v="1"/>
    <x v="0"/>
    <x v="0"/>
    <x v="0"/>
  </r>
  <r>
    <x v="2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0"/>
  </r>
  <r>
    <x v="6"/>
    <x v="0"/>
    <x v="0"/>
    <x v="0"/>
  </r>
  <r>
    <x v="7"/>
    <x v="0"/>
    <x v="0"/>
    <x v="0"/>
  </r>
  <r>
    <x v="8"/>
    <x v="0"/>
    <x v="0"/>
    <x v="0"/>
  </r>
  <r>
    <x v="8"/>
    <x v="0"/>
    <x v="0"/>
    <x v="0"/>
  </r>
  <r>
    <x v="0"/>
    <x v="1"/>
    <x v="1"/>
    <x v="1"/>
  </r>
  <r>
    <x v="1"/>
    <x v="1"/>
    <x v="0"/>
    <x v="2"/>
  </r>
  <r>
    <x v="2"/>
    <x v="1"/>
    <x v="0"/>
    <x v="2"/>
  </r>
  <r>
    <x v="2"/>
    <x v="1"/>
    <x v="2"/>
    <x v="3"/>
  </r>
  <r>
    <x v="3"/>
    <x v="1"/>
    <x v="0"/>
    <x v="2"/>
  </r>
  <r>
    <x v="4"/>
    <x v="1"/>
    <x v="3"/>
    <x v="4"/>
  </r>
  <r>
    <x v="5"/>
    <x v="1"/>
    <x v="4"/>
    <x v="5"/>
  </r>
  <r>
    <x v="6"/>
    <x v="1"/>
    <x v="0"/>
    <x v="2"/>
  </r>
  <r>
    <x v="7"/>
    <x v="1"/>
    <x v="5"/>
    <x v="6"/>
  </r>
  <r>
    <x v="8"/>
    <x v="1"/>
    <x v="0"/>
    <x v="2"/>
  </r>
  <r>
    <x v="8"/>
    <x v="1"/>
    <x v="0"/>
    <x v="2"/>
  </r>
  <r>
    <x v="0"/>
    <x v="2"/>
    <x v="0"/>
    <x v="2"/>
  </r>
  <r>
    <x v="1"/>
    <x v="2"/>
    <x v="0"/>
    <x v="2"/>
  </r>
  <r>
    <x v="2"/>
    <x v="2"/>
    <x v="0"/>
    <x v="2"/>
  </r>
  <r>
    <x v="2"/>
    <x v="2"/>
    <x v="0"/>
    <x v="2"/>
  </r>
  <r>
    <x v="3"/>
    <x v="2"/>
    <x v="0"/>
    <x v="2"/>
  </r>
  <r>
    <x v="4"/>
    <x v="2"/>
    <x v="0"/>
    <x v="2"/>
  </r>
  <r>
    <x v="5"/>
    <x v="2"/>
    <x v="0"/>
    <x v="2"/>
  </r>
  <r>
    <x v="6"/>
    <x v="2"/>
    <x v="6"/>
    <x v="7"/>
  </r>
  <r>
    <x v="7"/>
    <x v="2"/>
    <x v="0"/>
    <x v="2"/>
  </r>
  <r>
    <x v="8"/>
    <x v="2"/>
    <x v="0"/>
    <x v="2"/>
  </r>
  <r>
    <x v="8"/>
    <x v="2"/>
    <x v="0"/>
    <x v="2"/>
  </r>
  <r>
    <x v="0"/>
    <x v="3"/>
    <x v="0"/>
    <x v="2"/>
  </r>
  <r>
    <x v="1"/>
    <x v="3"/>
    <x v="0"/>
    <x v="2"/>
  </r>
  <r>
    <x v="2"/>
    <x v="3"/>
    <x v="0"/>
    <x v="2"/>
  </r>
  <r>
    <x v="2"/>
    <x v="3"/>
    <x v="0"/>
    <x v="2"/>
  </r>
  <r>
    <x v="3"/>
    <x v="3"/>
    <x v="0"/>
    <x v="2"/>
  </r>
  <r>
    <x v="4"/>
    <x v="3"/>
    <x v="7"/>
    <x v="8"/>
  </r>
  <r>
    <x v="5"/>
    <x v="3"/>
    <x v="8"/>
    <x v="9"/>
  </r>
  <r>
    <x v="6"/>
    <x v="3"/>
    <x v="0"/>
    <x v="2"/>
  </r>
  <r>
    <x v="7"/>
    <x v="3"/>
    <x v="0"/>
    <x v="2"/>
  </r>
  <r>
    <x v="8"/>
    <x v="3"/>
    <x v="0"/>
    <x v="2"/>
  </r>
  <r>
    <x v="8"/>
    <x v="3"/>
    <x v="0"/>
    <x v="2"/>
  </r>
  <r>
    <x v="0"/>
    <x v="4"/>
    <x v="0"/>
    <x v="2"/>
  </r>
  <r>
    <x v="1"/>
    <x v="4"/>
    <x v="0"/>
    <x v="2"/>
  </r>
  <r>
    <x v="2"/>
    <x v="4"/>
    <x v="0"/>
    <x v="2"/>
  </r>
  <r>
    <x v="2"/>
    <x v="4"/>
    <x v="8"/>
    <x v="10"/>
  </r>
  <r>
    <x v="3"/>
    <x v="4"/>
    <x v="0"/>
    <x v="2"/>
  </r>
  <r>
    <x v="4"/>
    <x v="4"/>
    <x v="9"/>
    <x v="11"/>
  </r>
  <r>
    <x v="5"/>
    <x v="4"/>
    <x v="10"/>
    <x v="12"/>
  </r>
  <r>
    <x v="6"/>
    <x v="4"/>
    <x v="0"/>
    <x v="2"/>
  </r>
  <r>
    <x v="7"/>
    <x v="4"/>
    <x v="0"/>
    <x v="2"/>
  </r>
  <r>
    <x v="8"/>
    <x v="4"/>
    <x v="0"/>
    <x v="2"/>
  </r>
  <r>
    <x v="8"/>
    <x v="4"/>
    <x v="0"/>
    <x v="2"/>
  </r>
  <r>
    <x v="0"/>
    <x v="5"/>
    <x v="0"/>
    <x v="2"/>
  </r>
  <r>
    <x v="1"/>
    <x v="5"/>
    <x v="0"/>
    <x v="2"/>
  </r>
  <r>
    <x v="2"/>
    <x v="5"/>
    <x v="0"/>
    <x v="2"/>
  </r>
  <r>
    <x v="2"/>
    <x v="5"/>
    <x v="0"/>
    <x v="2"/>
  </r>
  <r>
    <x v="3"/>
    <x v="5"/>
    <x v="0"/>
    <x v="2"/>
  </r>
  <r>
    <x v="4"/>
    <x v="5"/>
    <x v="0"/>
    <x v="2"/>
  </r>
  <r>
    <x v="5"/>
    <x v="5"/>
    <x v="0"/>
    <x v="2"/>
  </r>
  <r>
    <x v="6"/>
    <x v="5"/>
    <x v="0"/>
    <x v="2"/>
  </r>
  <r>
    <x v="7"/>
    <x v="5"/>
    <x v="0"/>
    <x v="2"/>
  </r>
  <r>
    <x v="8"/>
    <x v="5"/>
    <x v="11"/>
    <x v="13"/>
  </r>
  <r>
    <x v="8"/>
    <x v="5"/>
    <x v="12"/>
    <x v="14"/>
  </r>
  <r>
    <x v="0"/>
    <x v="6"/>
    <x v="13"/>
    <x v="15"/>
  </r>
  <r>
    <x v="1"/>
    <x v="6"/>
    <x v="0"/>
    <x v="2"/>
  </r>
  <r>
    <x v="2"/>
    <x v="6"/>
    <x v="0"/>
    <x v="2"/>
  </r>
  <r>
    <x v="2"/>
    <x v="6"/>
    <x v="0"/>
    <x v="2"/>
  </r>
  <r>
    <x v="3"/>
    <x v="6"/>
    <x v="0"/>
    <x v="2"/>
  </r>
  <r>
    <x v="4"/>
    <x v="6"/>
    <x v="0"/>
    <x v="2"/>
  </r>
  <r>
    <x v="5"/>
    <x v="6"/>
    <x v="0"/>
    <x v="2"/>
  </r>
  <r>
    <x v="6"/>
    <x v="6"/>
    <x v="0"/>
    <x v="2"/>
  </r>
  <r>
    <x v="7"/>
    <x v="6"/>
    <x v="14"/>
    <x v="16"/>
  </r>
  <r>
    <x v="8"/>
    <x v="6"/>
    <x v="15"/>
    <x v="17"/>
  </r>
  <r>
    <x v="8"/>
    <x v="6"/>
    <x v="16"/>
    <x v="18"/>
  </r>
  <r>
    <x v="0"/>
    <x v="7"/>
    <x v="1"/>
    <x v="19"/>
  </r>
  <r>
    <x v="1"/>
    <x v="7"/>
    <x v="0"/>
    <x v="2"/>
  </r>
  <r>
    <x v="2"/>
    <x v="7"/>
    <x v="0"/>
    <x v="2"/>
  </r>
  <r>
    <x v="2"/>
    <x v="7"/>
    <x v="0"/>
    <x v="2"/>
  </r>
  <r>
    <x v="3"/>
    <x v="7"/>
    <x v="0"/>
    <x v="2"/>
  </r>
  <r>
    <x v="4"/>
    <x v="7"/>
    <x v="0"/>
    <x v="2"/>
  </r>
  <r>
    <x v="5"/>
    <x v="7"/>
    <x v="1"/>
    <x v="19"/>
  </r>
  <r>
    <x v="6"/>
    <x v="7"/>
    <x v="0"/>
    <x v="2"/>
  </r>
  <r>
    <x v="7"/>
    <x v="7"/>
    <x v="0"/>
    <x v="2"/>
  </r>
  <r>
    <x v="8"/>
    <x v="7"/>
    <x v="0"/>
    <x v="2"/>
  </r>
  <r>
    <x v="8"/>
    <x v="7"/>
    <x v="0"/>
    <x v="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  <x v="0"/>
  </r>
  <r>
    <x v="1"/>
    <x v="1"/>
    <x v="1"/>
    <x v="0"/>
    <x v="1"/>
    <x v="1"/>
  </r>
  <r>
    <x v="2"/>
    <x v="2"/>
    <x v="2"/>
    <x v="1"/>
    <x v="2"/>
    <x v="2"/>
  </r>
  <r>
    <x v="3"/>
    <x v="1"/>
    <x v="1"/>
    <x v="0"/>
    <x v="1"/>
    <x v="1"/>
  </r>
  <r>
    <x v="4"/>
    <x v="3"/>
    <x v="3"/>
    <x v="0"/>
    <x v="0"/>
    <x v="0"/>
  </r>
  <r>
    <x v="5"/>
    <x v="4"/>
    <x v="4"/>
    <x v="0"/>
    <x v="0"/>
    <x v="0"/>
  </r>
  <r>
    <x v="6"/>
    <x v="5"/>
    <x v="1"/>
    <x v="2"/>
    <x v="3"/>
    <x v="3"/>
  </r>
  <r>
    <x v="7"/>
    <x v="6"/>
    <x v="5"/>
    <x v="0"/>
    <x v="0"/>
    <x v="0"/>
  </r>
  <r>
    <x v="8"/>
    <x v="7"/>
    <x v="6"/>
    <x v="3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EAF91B-CCE4-413D-88C6-6B2EF1BDC096}" name="Tableau croisé dynamique1" cacheId="33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 chartFormat="2">
  <location ref="B18:J28" firstHeaderRow="0" firstDataRow="1" firstDataCol="1"/>
  <pivotFields count="1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0">
        <item x="2"/>
        <item x="7"/>
        <item x="8"/>
        <item x="4"/>
        <item x="5"/>
        <item x="6"/>
        <item x="3"/>
        <item x="0"/>
        <item x="1"/>
        <item m="1" x="9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Produits sans spécifications " fld="6" baseField="0" baseItem="0"/>
    <dataField name="BIO" fld="7" baseField="0" baseItem="0"/>
    <dataField name="LOCAL" fld="8" baseField="0" baseItem="0"/>
    <dataField name="HVE" fld="10" baseField="0" baseItem="0"/>
    <dataField name="SIQO" fld="11" baseField="0" baseItem="0"/>
    <dataField name="Produit fermier " fld="13" subtotal="count" baseField="5" baseItem="1"/>
    <dataField name="Ecolabel" fld="14" baseField="0" baseItem="0"/>
    <dataField name="Autres" fld="15" baseField="5" baseItem="0"/>
  </dataFields>
  <formats count="9">
    <format dxfId="184">
      <pivotArea field="5" type="button" dataOnly="0" labelOnly="1" outline="0" axis="axisRow" fieldPosition="0"/>
    </format>
    <format dxfId="183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82">
      <pivotArea field="5" type="button" dataOnly="0" labelOnly="1" outline="0" axis="axisRow" fieldPosition="0"/>
    </format>
    <format dxfId="181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80">
      <pivotArea field="5" type="button" dataOnly="0" labelOnly="1" outline="0" axis="axisRow" fieldPosition="0"/>
    </format>
    <format dxfId="179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78">
      <pivotArea dataOnly="0" outline="0" fieldPosition="0">
        <references count="1">
          <reference field="5" count="0"/>
        </references>
      </pivotArea>
    </format>
    <format dxfId="177">
      <pivotArea grandRow="1" outline="0" collapsedLevelsAreSubtotals="1" fieldPosition="0"/>
    </format>
    <format dxfId="176">
      <pivotArea outline="0" fieldPosition="0">
        <references count="1">
          <reference field="5" count="0" selected="0"/>
        </references>
      </pivotArea>
    </format>
  </format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3F285D-3E6B-41BC-9011-174353335B35}" name="Tableau croisé dynamique7" cacheId="47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fieldListSortAscending="1">
  <location ref="L46:O56" firstHeaderRow="0" firstDataRow="1" firstDataCol="1"/>
  <pivotFields count="6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>
      <items count="5">
        <item x="3"/>
        <item x="4"/>
        <item x="2"/>
        <item x="0"/>
        <item x="1"/>
      </items>
    </pivotField>
    <pivotField dataField="1" compact="0" outlin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ntant " fld="1" baseField="0" baseItem="1" numFmtId="165"/>
    <dataField name="% Frais " fld="4" baseField="0" baseItem="0" numFmtId="166"/>
    <dataField name="% Surgelé " fld="5" baseField="0" baseItem="0" numFmtId="166"/>
  </dataFields>
  <conditionalFormats count="1">
    <conditionalFormat priority="1">
      <pivotAreas count="1">
        <pivotArea type="data" grandRow="1" outline="0" collapsedLevelsAreSubtotals="1" fieldPosition="0"/>
      </pivotAreas>
    </conditionalFormat>
  </conditionalFormat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27F0AD-7126-4D0F-B2CD-A20F3116746B}" name="Tableau croisé dynamique6" cacheId="45" applyNumberFormats="0" applyBorderFormats="0" applyFontFormats="0" applyPatternFormats="0" applyAlignmentFormats="0" applyWidthHeightFormats="1" dataCaption="   " updatedVersion="6" minRefreshableVersion="3" colGrandTotals="0" itemPrintTitles="1" mergeItem="1" createdVersion="6" indent="0" compact="0" compactData="0" multipleFieldFilters="0" fieldListSortAscending="1">
  <location ref="L26:AB38" firstHeaderRow="1" firstDataRow="3" firstDataCol="1"/>
  <pivotFields count="4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  " axis="axisCol" compact="0" outline="0" showAll="0" defaultSubtotal="0">
      <items count="8">
        <item x="0"/>
        <item x="1"/>
        <item x="2"/>
        <item x="3"/>
        <item x="4"/>
        <item x="5"/>
        <item n="Sans spécifications" x="6"/>
        <item x="7"/>
      </items>
    </pivotField>
    <pivotField dataField="1" compact="0" outline="0" showAll="0" defaultSubtotal="0"/>
    <pivotField dataField="1" compact="0" outlin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"/>
    <field x="-2"/>
  </colFields>
  <colItems count="1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</colItems>
  <dataFields count="2">
    <dataField name="Montant " fld="2" baseField="0" baseItem="0" numFmtId="165"/>
    <dataField name="% Produit " fld="3" baseField="0" baseItem="0" numFmtId="166"/>
  </dataFields>
  <pivotTableStyleInfo name="PivotStyleMedium2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D46ADC-D86A-437B-B9C7-01D7A4A3697D}" name="Tableau croisé dynamique5" cacheId="37" applyNumberFormats="0" applyBorderFormats="0" applyFontFormats="0" applyPatternFormats="0" applyAlignmentFormats="0" applyWidthHeightFormats="1" dataCaption="   " updatedVersion="6" minRefreshableVersion="3" rowGrandTotals="0" itemPrintTitles="1" mergeItem="1" createdVersion="6" indent="0" compact="0" compactData="0" multipleFieldFilters="0" fieldListSortAscending="1">
  <location ref="L4:AD15" firstHeaderRow="1" firstDataRow="3" firstDataCol="1"/>
  <pivotFields count="4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  " axis="axisCol" compact="0" outline="0" showAll="0" defaultSubtotal="0">
      <items count="8">
        <item x="0"/>
        <item x="1"/>
        <item x="2"/>
        <item x="3"/>
        <item x="4"/>
        <item x="5"/>
        <item n="Sans spécifications" x="6"/>
        <item x="7"/>
      </items>
    </pivotField>
    <pivotField dataField="1" compact="0" outline="0" showAll="0" defaultSubtotal="0"/>
    <pivotField dataField="1" compact="0" outline="0" showAll="0" defaultSubtota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2">
    <field x="1"/>
    <field x="-2"/>
  </colFields>
  <colItems count="1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 t="grand">
      <x/>
    </i>
    <i t="grand" i="1">
      <x/>
    </i>
  </colItems>
  <dataFields count="2">
    <dataField name="Montant " fld="2" baseField="0" baseItem="0" numFmtId="3"/>
    <dataField name="% Gamme " fld="3" baseField="0" baseItem="0" numFmtId="10"/>
  </dataFields>
  <formats count="24">
    <format dxfId="50">
      <pivotArea field="0" type="button" dataOnly="0" labelOnly="1" outline="0" axis="axisRow" fieldPosition="0"/>
    </format>
    <format dxfId="51">
      <pivotArea dataOnly="0" labelOnly="1" outline="0" fieldPosition="0">
        <references count="1">
          <reference field="1" count="0"/>
        </references>
      </pivotArea>
    </format>
    <format dxfId="52">
      <pivotArea dataOnly="0" labelOnly="1" grandCol="1" outline="0" fieldPosition="0"/>
    </format>
    <format dxfId="53">
      <pivotArea field="0" type="button" dataOnly="0" labelOnly="1" outline="0" axis="axisRow" fieldPosition="0"/>
    </format>
    <format dxfId="54">
      <pivotArea dataOnly="0" labelOnly="1" outline="0" fieldPosition="0">
        <references count="1">
          <reference field="1" count="0"/>
        </references>
      </pivotArea>
    </format>
    <format dxfId="55">
      <pivotArea dataOnly="0" labelOnly="1" grandCol="1" outline="0" fieldPosition="0"/>
    </format>
    <format dxfId="56">
      <pivotArea field="0" type="button" dataOnly="0" labelOnly="1" outline="0" axis="axisRow" fieldPosition="0"/>
    </format>
    <format dxfId="57">
      <pivotArea dataOnly="0" labelOnly="1" outline="0" fieldPosition="0">
        <references count="1">
          <reference field="1" count="0"/>
        </references>
      </pivotArea>
    </format>
    <format dxfId="58">
      <pivotArea dataOnly="0" labelOnly="1" grandCol="1" outline="0" fieldPosition="0"/>
    </format>
    <format dxfId="59">
      <pivotArea outline="0" fieldPosition="0">
        <references count="1">
          <reference field="4294967294" count="1">
            <x v="0"/>
          </reference>
        </references>
      </pivotArea>
    </format>
    <format dxfId="60">
      <pivotArea field="1" grandRow="1" outline="0" axis="axisCol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format>
    <format dxfId="61">
      <pivotArea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format>
    <format dxfId="62">
      <pivotArea field="1" type="button" dataOnly="0" labelOnly="1" outline="0" axis="axisCol" fieldPosition="0"/>
    </format>
    <format dxfId="63">
      <pivotArea dataOnly="0" labelOnly="1" outline="0" fieldPosition="0">
        <references count="2">
          <reference field="4294967294" count="1">
            <x v="0"/>
          </reference>
          <reference field="1" count="1" selected="0">
            <x v="0"/>
          </reference>
        </references>
      </pivotArea>
    </format>
    <format dxfId="64">
      <pivotArea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format>
    <format dxfId="65">
      <pivotArea type="topRight" dataOnly="0" labelOnly="1" outline="0" fieldPosition="0"/>
    </format>
    <format dxfId="66">
      <pivotArea dataOnly="0" labelOnly="1" outline="0" fieldPosition="0">
        <references count="1">
          <reference field="1" count="1">
            <x v="1"/>
          </reference>
        </references>
      </pivotArea>
    </format>
    <format dxfId="67">
      <pivotArea dataOnly="0" labelOnly="1" outline="0" fieldPosition="0">
        <references count="2">
          <reference field="4294967294" count="1">
            <x v="0"/>
          </reference>
          <reference field="1" count="1" selected="0">
            <x v="1"/>
          </reference>
        </references>
      </pivotArea>
    </format>
    <format dxfId="68">
      <pivotArea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format>
    <format dxfId="69">
      <pivotArea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format>
    <format dxfId="70">
      <pivotArea field="-2" type="button" dataOnly="0" labelOnly="1" outline="0" axis="axisCol" fieldPosition="1"/>
    </format>
    <format dxfId="71">
      <pivotArea dataOnly="0" labelOnly="1" outline="0" fieldPosition="0">
        <references count="1">
          <reference field="1" count="1">
            <x v="0"/>
          </reference>
        </references>
      </pivotArea>
    </format>
    <format dxfId="72">
      <pivotArea dataOnly="0" labelOnly="1" outline="0" fieldPosition="0">
        <references count="2">
          <reference field="4294967294" count="1">
            <x v="1"/>
          </reference>
          <reference field="1" count="1" selected="0">
            <x v="0"/>
          </reference>
        </references>
      </pivotArea>
    </format>
    <format dxfId="73">
      <pivotArea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format>
  </formats>
  <pivotTableStyleInfo name="PivotStyleMedium2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5E1F38-87DE-49C4-8739-BC152DFE9DBE}" name="Tableau croisé dynamique4" cacheId="35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 fieldListSortAscending="1">
  <location ref="B4:J15" firstHeaderRow="1" firstDataRow="2" firstDataCol="1"/>
  <pivotFields count="3">
    <pivotField axis="axisRow" compact="0" outline="0" showAll="0" defaultSubtotal="0">
      <items count="9">
        <item x="2"/>
        <item x="7"/>
        <item x="8"/>
        <item x="4"/>
        <item x="5"/>
        <item x="6"/>
        <item x="3"/>
        <item x="0"/>
        <item x="1"/>
      </items>
    </pivotField>
    <pivotField axis="axisCol" compact="0" outline="0" showAll="0" defaultSubtotal="0">
      <items count="8">
        <item x="7"/>
        <item x="1"/>
        <item x="6"/>
        <item x="5"/>
        <item x="3"/>
        <item x="2"/>
        <item x="0"/>
        <item x="4"/>
      </items>
    </pivotField>
    <pivotField dataField="1" compact="0" outlin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 " fld="2" baseField="0" baseItem="0" numFmtId="165"/>
  </dataFields>
  <formats count="7">
    <format dxfId="175">
      <pivotArea dataOnly="0" labelOnly="1" outline="0" fieldPosition="0">
        <references count="1">
          <reference field="1" count="0"/>
        </references>
      </pivotArea>
    </format>
    <format dxfId="174">
      <pivotArea dataOnly="0" labelOnly="1" outline="0" fieldPosition="0">
        <references count="1">
          <reference field="1" count="0"/>
        </references>
      </pivotArea>
    </format>
    <format dxfId="173">
      <pivotArea dataOnly="0" labelOnly="1" outline="0" fieldPosition="0">
        <references count="1">
          <reference field="1" count="0"/>
        </references>
      </pivotArea>
    </format>
    <format dxfId="172">
      <pivotArea outline="0" collapsedLevelsAreSubtotals="1" fieldPosition="0"/>
    </format>
    <format dxfId="171">
      <pivotArea field="1" type="button" dataOnly="0" labelOnly="1" outline="0" axis="axisCol" fieldPosition="0"/>
    </format>
    <format dxfId="170">
      <pivotArea type="topRight" dataOnly="0" labelOnly="1" outline="0" fieldPosition="0"/>
    </format>
    <format dxfId="169">
      <pivotArea dataOnly="0" labelOnly="1" outline="0" fieldPosition="0">
        <references count="1">
          <reference field="1" count="0"/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9C7C21-E94F-4034-81AF-C857F2CDFA2C}" name="Tableau2" displayName="Tableau2" ref="A7:S25" totalsRowShown="0" headerRowDxfId="206" dataDxfId="205" tableBorderDxfId="204">
  <autoFilter ref="A7:S25" xr:uid="{4C83C559-05F8-404B-A2F5-57441D461A01}"/>
  <tableColumns count="19">
    <tableColumn id="1" xr3:uid="{68986EBA-65FA-467D-9308-3BC06B17E665}" name="Date " dataDxfId="203"/>
    <tableColumn id="2" xr3:uid="{520AB6FE-E31F-49D5-8B60-F3C6437FBB47}" name="n°du bon de livraison" dataDxfId="202"/>
    <tableColumn id="3" xr3:uid="{54992B4C-68F0-4F49-B033-295F281319A2}" name="Fournisseur " dataDxfId="201"/>
    <tableColumn id="4" xr3:uid="{A817A04C-2026-4C07-BFB1-3E13A2591FD7}" name="Type de produits" dataDxfId="200"/>
    <tableColumn id="5" xr3:uid="{B1334ABD-DBEE-4E69-9BD5-1147E0CC2DE0}" name="Produit " dataDxfId="199"/>
    <tableColumn id="6" xr3:uid="{394042C5-200C-4F75-AA45-CE9334DEBC15}" name="Gamme " dataDxfId="198"/>
    <tableColumn id="7" xr3:uid="{9394A4AD-D967-4769-946E-FB0AB03415D8}" name="Produits sans spécifications" dataDxfId="197"/>
    <tableColumn id="8" xr3:uid="{25E8A727-10EA-4C40-B36D-0BAF09469C7C}" name="BIO " dataDxfId="196"/>
    <tableColumn id="9" xr3:uid="{B35F51D0-C1C9-4E92-9313-2928225B81A6}" name="LOCAL Prix" dataDxfId="195"/>
    <tableColumn id="10" xr3:uid="{92276C49-2C48-4F15-ADDC-A3AD07E8E3FC}" name="LOCAL Libellé" dataDxfId="194"/>
    <tableColumn id="11" xr3:uid="{A2E82381-BD53-4E74-BD98-F880E06967F8}" name="HVE " dataDxfId="193"/>
    <tableColumn id="12" xr3:uid="{FDE3D21B-A079-4DC9-A1FF-7D3890BA6BB4}" name="SIQO Prix" dataDxfId="192"/>
    <tableColumn id="13" xr3:uid="{768C1B57-4351-4C17-BDD1-E94D37F1BD53}" name="SIQO Libellé" dataDxfId="191"/>
    <tableColumn id="14" xr3:uid="{887F1FCF-25D2-4406-B7D1-573D4D4DB0DD}" name="Produit fermier" dataDxfId="190"/>
    <tableColumn id="15" xr3:uid="{EE65B5FF-2275-422A-AF51-9CE07896FE14}" name="Ecolabel " dataDxfId="189"/>
    <tableColumn id="16" xr3:uid="{AC5CD79A-8D6B-409D-9D3D-7F1A6B1C4CE5}" name="Autres 1" dataDxfId="188"/>
    <tableColumn id="17" xr3:uid="{1A892296-289B-46BC-B91C-4F159DFECD08}" name="Autres 2" dataDxfId="187"/>
    <tableColumn id="18" xr3:uid="{39760EC0-439C-4D9B-B0BE-543FC9C3E106}" name="Autres 3" dataDxfId="186"/>
    <tableColumn id="19" xr3:uid="{84B56400-4900-43FD-ADC4-ACDA8277E5EC}" name="Autres 4" dataDxfId="185">
      <calculatedColumnFormula>SUBTOTAL(3,D8)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9540-FEDE-4CBA-A0D8-BAF7B969D3C2}">
  <dimension ref="A1:V50"/>
  <sheetViews>
    <sheetView topLeftCell="B10" workbookViewId="0">
      <selection activeCell="I25" sqref="I25"/>
    </sheetView>
  </sheetViews>
  <sheetFormatPr baseColWidth="10" defaultRowHeight="14.4" outlineLevelCol="1"/>
  <cols>
    <col min="1" max="1" width="12.6640625" customWidth="1"/>
    <col min="2" max="2" width="16" customWidth="1"/>
    <col min="4" max="4" width="16.109375" customWidth="1"/>
    <col min="5" max="5" width="25.5546875" customWidth="1"/>
    <col min="6" max="6" width="19.88671875" customWidth="1"/>
    <col min="7" max="7" width="20.33203125" customWidth="1"/>
    <col min="10" max="10" width="29.109375" customWidth="1"/>
    <col min="13" max="13" width="12.88671875" customWidth="1"/>
    <col min="14" max="14" width="12.44140625" customWidth="1"/>
    <col min="19" max="19" width="0" hidden="1" customWidth="1" outlineLevel="1"/>
    <col min="20" max="20" width="11.5546875" collapsed="1"/>
  </cols>
  <sheetData>
    <row r="1" spans="1:22">
      <c r="A1" s="16"/>
      <c r="B1" s="46"/>
      <c r="C1" s="45" t="s">
        <v>67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4"/>
      <c r="U1" s="44"/>
      <c r="V1" s="44"/>
    </row>
    <row r="2" spans="1:22">
      <c r="A2" s="16"/>
      <c r="B2" s="4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4"/>
      <c r="U2" s="44"/>
      <c r="V2" s="44"/>
    </row>
    <row r="3" spans="1:22" ht="47.25" customHeight="1">
      <c r="A3" s="16"/>
      <c r="B3" s="47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4"/>
      <c r="U3" s="44"/>
      <c r="V3" s="44"/>
    </row>
    <row r="4" spans="1:22" ht="14.25" customHeight="1">
      <c r="A4" s="54" t="s">
        <v>0</v>
      </c>
      <c r="B4" s="57" t="s">
        <v>1</v>
      </c>
      <c r="C4" s="54" t="s">
        <v>2</v>
      </c>
      <c r="D4" s="54" t="s">
        <v>3</v>
      </c>
      <c r="E4" s="54" t="s">
        <v>4</v>
      </c>
      <c r="F4" s="59" t="s">
        <v>5</v>
      </c>
      <c r="G4" s="61" t="s">
        <v>6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  <c r="T4" s="44"/>
      <c r="U4" s="44"/>
      <c r="V4" s="44"/>
    </row>
    <row r="5" spans="1:22">
      <c r="A5" s="54"/>
      <c r="B5" s="57"/>
      <c r="C5" s="54"/>
      <c r="D5" s="54"/>
      <c r="E5" s="54"/>
      <c r="F5" s="59"/>
      <c r="G5" s="72" t="s">
        <v>9</v>
      </c>
      <c r="H5" s="61" t="s">
        <v>7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44"/>
      <c r="U5" s="44"/>
      <c r="V5" s="44"/>
    </row>
    <row r="6" spans="1:22" ht="36.75" customHeight="1">
      <c r="A6" s="55"/>
      <c r="B6" s="58"/>
      <c r="C6" s="55"/>
      <c r="D6" s="55"/>
      <c r="E6" s="55"/>
      <c r="F6" s="60"/>
      <c r="G6" s="72"/>
      <c r="H6" s="6" t="s">
        <v>8</v>
      </c>
      <c r="I6" s="73" t="s">
        <v>29</v>
      </c>
      <c r="J6" s="53"/>
      <c r="K6" s="11" t="s">
        <v>30</v>
      </c>
      <c r="L6" s="43" t="s">
        <v>31</v>
      </c>
      <c r="M6" s="43"/>
      <c r="N6" s="12" t="s">
        <v>32</v>
      </c>
      <c r="O6" s="7" t="s">
        <v>33</v>
      </c>
      <c r="P6" s="52" t="s">
        <v>34</v>
      </c>
      <c r="Q6" s="52"/>
      <c r="R6" s="52"/>
      <c r="S6" s="53"/>
      <c r="T6" s="44"/>
      <c r="U6" s="44"/>
      <c r="V6" s="44"/>
    </row>
    <row r="7" spans="1:22" s="17" customFormat="1">
      <c r="A7" s="23" t="s">
        <v>0</v>
      </c>
      <c r="B7" s="23" t="s">
        <v>1</v>
      </c>
      <c r="C7" s="23" t="s">
        <v>2</v>
      </c>
      <c r="D7" s="23" t="s">
        <v>3</v>
      </c>
      <c r="E7" s="23" t="s">
        <v>4</v>
      </c>
      <c r="F7" s="23" t="s">
        <v>5</v>
      </c>
      <c r="G7" s="23" t="s">
        <v>9</v>
      </c>
      <c r="H7" s="23" t="s">
        <v>8</v>
      </c>
      <c r="I7" s="23" t="s">
        <v>68</v>
      </c>
      <c r="J7" s="23" t="s">
        <v>69</v>
      </c>
      <c r="K7" s="23" t="s">
        <v>30</v>
      </c>
      <c r="L7" s="23" t="s">
        <v>70</v>
      </c>
      <c r="M7" s="23" t="s">
        <v>71</v>
      </c>
      <c r="N7" s="23" t="s">
        <v>32</v>
      </c>
      <c r="O7" s="23" t="s">
        <v>33</v>
      </c>
      <c r="P7" s="23" t="s">
        <v>72</v>
      </c>
      <c r="Q7" s="23" t="s">
        <v>73</v>
      </c>
      <c r="R7" s="23" t="s">
        <v>74</v>
      </c>
      <c r="S7" s="23" t="s">
        <v>75</v>
      </c>
      <c r="T7" s="44"/>
      <c r="U7" s="44"/>
      <c r="V7" s="44"/>
    </row>
    <row r="8" spans="1:22">
      <c r="A8" s="18"/>
      <c r="B8" s="18"/>
      <c r="C8" s="18"/>
      <c r="D8" s="18" t="s">
        <v>47</v>
      </c>
      <c r="E8" s="18" t="s">
        <v>50</v>
      </c>
      <c r="F8" s="18" t="s">
        <v>14</v>
      </c>
      <c r="G8" s="19">
        <v>25</v>
      </c>
      <c r="H8" s="20"/>
      <c r="I8" s="19"/>
      <c r="J8" s="19"/>
      <c r="K8" s="19"/>
      <c r="L8" s="19"/>
      <c r="M8" s="19" t="s">
        <v>24</v>
      </c>
      <c r="N8" s="19"/>
      <c r="O8" s="19"/>
      <c r="P8" s="18"/>
      <c r="Q8" s="18"/>
      <c r="R8" s="21"/>
      <c r="S8" s="22">
        <f t="shared" ref="S8:S25" si="0">SUBTOTAL(3,D8)</f>
        <v>1</v>
      </c>
      <c r="T8" s="44"/>
      <c r="U8" s="44"/>
      <c r="V8" s="44"/>
    </row>
    <row r="9" spans="1:22">
      <c r="A9" s="18"/>
      <c r="B9" s="18"/>
      <c r="C9" s="18"/>
      <c r="D9" s="18" t="s">
        <v>47</v>
      </c>
      <c r="E9" s="18" t="s">
        <v>49</v>
      </c>
      <c r="F9" s="18" t="s">
        <v>15</v>
      </c>
      <c r="G9" s="20">
        <v>86</v>
      </c>
      <c r="H9" s="20"/>
      <c r="I9" s="20"/>
      <c r="J9" s="20"/>
      <c r="K9" s="20"/>
      <c r="L9" s="20"/>
      <c r="M9" s="20" t="s">
        <v>24</v>
      </c>
      <c r="N9" s="20">
        <v>125</v>
      </c>
      <c r="O9" s="20"/>
      <c r="P9" s="18"/>
      <c r="Q9" s="18"/>
      <c r="R9" s="18"/>
      <c r="S9" s="22">
        <f t="shared" si="0"/>
        <v>1</v>
      </c>
      <c r="T9" s="44"/>
      <c r="U9" s="44"/>
      <c r="V9" s="44"/>
    </row>
    <row r="10" spans="1:22">
      <c r="A10" s="18"/>
      <c r="B10" s="18"/>
      <c r="C10" s="18"/>
      <c r="D10" s="18" t="s">
        <v>48</v>
      </c>
      <c r="E10" s="18" t="s">
        <v>51</v>
      </c>
      <c r="F10" s="18" t="s">
        <v>15</v>
      </c>
      <c r="G10" s="20">
        <v>75</v>
      </c>
      <c r="H10" s="20"/>
      <c r="I10" s="20"/>
      <c r="J10" s="20"/>
      <c r="K10" s="20"/>
      <c r="L10" s="20"/>
      <c r="M10" s="20" t="s">
        <v>24</v>
      </c>
      <c r="N10" s="20">
        <v>100</v>
      </c>
      <c r="O10" s="20"/>
      <c r="P10" s="18"/>
      <c r="Q10" s="18"/>
      <c r="R10" s="18"/>
      <c r="S10" s="22">
        <f t="shared" si="0"/>
        <v>1</v>
      </c>
      <c r="T10" s="44"/>
      <c r="U10" s="44"/>
      <c r="V10" s="44"/>
    </row>
    <row r="11" spans="1:22">
      <c r="A11" s="18"/>
      <c r="B11" s="18"/>
      <c r="C11" s="18"/>
      <c r="D11" s="18" t="s">
        <v>47</v>
      </c>
      <c r="E11" s="18" t="s">
        <v>52</v>
      </c>
      <c r="F11" s="18" t="s">
        <v>13</v>
      </c>
      <c r="G11" s="20">
        <v>58</v>
      </c>
      <c r="H11" s="20"/>
      <c r="I11" s="20"/>
      <c r="J11" s="20"/>
      <c r="K11" s="20"/>
      <c r="L11" s="20"/>
      <c r="M11" s="20" t="s">
        <v>24</v>
      </c>
      <c r="N11" s="20"/>
      <c r="O11" s="20"/>
      <c r="P11" s="18"/>
      <c r="Q11" s="18"/>
      <c r="R11" s="18"/>
      <c r="S11" s="22">
        <f t="shared" si="0"/>
        <v>1</v>
      </c>
      <c r="T11" s="44"/>
      <c r="U11" s="44"/>
      <c r="V11" s="44"/>
    </row>
    <row r="12" spans="1:22">
      <c r="A12" s="18"/>
      <c r="B12" s="18"/>
      <c r="C12" s="18"/>
      <c r="D12" s="18" t="s">
        <v>47</v>
      </c>
      <c r="E12" s="18" t="s">
        <v>53</v>
      </c>
      <c r="F12" s="18" t="s">
        <v>13</v>
      </c>
      <c r="G12" s="20">
        <v>57</v>
      </c>
      <c r="H12" s="20"/>
      <c r="I12" s="20"/>
      <c r="J12" s="20"/>
      <c r="K12" s="20"/>
      <c r="L12" s="20"/>
      <c r="M12" s="20" t="s">
        <v>24</v>
      </c>
      <c r="N12" s="20"/>
      <c r="O12" s="20"/>
      <c r="P12" s="18"/>
      <c r="Q12" s="18"/>
      <c r="R12" s="18"/>
      <c r="S12" s="22">
        <f t="shared" si="0"/>
        <v>1</v>
      </c>
      <c r="T12" s="44"/>
      <c r="U12" s="44"/>
      <c r="V12" s="44"/>
    </row>
    <row r="13" spans="1:22">
      <c r="A13" s="18"/>
      <c r="B13" s="18"/>
      <c r="C13" s="18"/>
      <c r="D13" s="18" t="s">
        <v>47</v>
      </c>
      <c r="E13" s="18" t="s">
        <v>54</v>
      </c>
      <c r="F13" s="18" t="s">
        <v>13</v>
      </c>
      <c r="G13" s="20"/>
      <c r="H13" s="20">
        <v>22</v>
      </c>
      <c r="I13" s="20"/>
      <c r="J13" s="20"/>
      <c r="K13" s="20"/>
      <c r="L13" s="20">
        <v>22</v>
      </c>
      <c r="M13" s="20" t="s">
        <v>24</v>
      </c>
      <c r="N13" s="20"/>
      <c r="O13" s="20"/>
      <c r="P13" s="18"/>
      <c r="Q13" s="18"/>
      <c r="R13" s="18"/>
      <c r="S13" s="22">
        <f t="shared" si="0"/>
        <v>1</v>
      </c>
      <c r="T13" s="44"/>
      <c r="U13" s="44"/>
      <c r="V13" s="44"/>
    </row>
    <row r="14" spans="1:22">
      <c r="A14" s="18"/>
      <c r="B14" s="18"/>
      <c r="C14" s="18"/>
      <c r="D14" s="18" t="s">
        <v>48</v>
      </c>
      <c r="E14" s="18" t="s">
        <v>55</v>
      </c>
      <c r="F14" s="18" t="s">
        <v>18</v>
      </c>
      <c r="G14" s="20"/>
      <c r="H14" s="20"/>
      <c r="I14" s="20"/>
      <c r="J14" s="20"/>
      <c r="K14" s="20"/>
      <c r="L14" s="20"/>
      <c r="M14" s="20" t="s">
        <v>24</v>
      </c>
      <c r="N14" s="20"/>
      <c r="O14" s="20">
        <v>54</v>
      </c>
      <c r="P14" s="18"/>
      <c r="Q14" s="18"/>
      <c r="R14" s="18"/>
      <c r="S14" s="22">
        <f t="shared" si="0"/>
        <v>1</v>
      </c>
      <c r="T14" s="44"/>
      <c r="U14" s="44"/>
      <c r="V14" s="44"/>
    </row>
    <row r="15" spans="1:22">
      <c r="A15" s="18"/>
      <c r="B15" s="18"/>
      <c r="C15" s="18"/>
      <c r="D15" s="18" t="s">
        <v>48</v>
      </c>
      <c r="E15" s="18" t="s">
        <v>56</v>
      </c>
      <c r="F15" s="18" t="s">
        <v>18</v>
      </c>
      <c r="G15" s="20"/>
      <c r="H15" s="20"/>
      <c r="I15" s="20"/>
      <c r="J15" s="20"/>
      <c r="K15" s="20"/>
      <c r="L15" s="20"/>
      <c r="M15" s="20" t="s">
        <v>24</v>
      </c>
      <c r="N15" s="20"/>
      <c r="O15" s="20">
        <v>24</v>
      </c>
      <c r="P15" s="18"/>
      <c r="Q15" s="18"/>
      <c r="R15" s="18"/>
      <c r="S15" s="22">
        <f t="shared" si="0"/>
        <v>1</v>
      </c>
      <c r="T15" s="44"/>
      <c r="U15" s="44"/>
      <c r="V15" s="44"/>
    </row>
    <row r="16" spans="1:22">
      <c r="A16" s="18"/>
      <c r="B16" s="18"/>
      <c r="C16" s="18"/>
      <c r="D16" s="18" t="s">
        <v>47</v>
      </c>
      <c r="E16" s="18" t="s">
        <v>57</v>
      </c>
      <c r="F16" s="18" t="s">
        <v>14</v>
      </c>
      <c r="G16" s="20"/>
      <c r="H16" s="20">
        <v>120</v>
      </c>
      <c r="I16" s="20"/>
      <c r="J16" s="20"/>
      <c r="K16" s="20"/>
      <c r="L16" s="20"/>
      <c r="M16" s="20" t="s">
        <v>28</v>
      </c>
      <c r="N16" s="20"/>
      <c r="O16" s="20"/>
      <c r="P16" s="18"/>
      <c r="Q16" s="18"/>
      <c r="R16" s="18"/>
      <c r="S16" s="22">
        <f t="shared" si="0"/>
        <v>1</v>
      </c>
      <c r="T16" s="44"/>
      <c r="U16" s="44"/>
      <c r="V16" s="44"/>
    </row>
    <row r="17" spans="1:22">
      <c r="A17" s="18"/>
      <c r="B17" s="18"/>
      <c r="C17" s="18"/>
      <c r="D17" s="18" t="s">
        <v>47</v>
      </c>
      <c r="E17" s="18" t="s">
        <v>58</v>
      </c>
      <c r="F17" s="18" t="s">
        <v>19</v>
      </c>
      <c r="G17" s="20"/>
      <c r="H17" s="20"/>
      <c r="I17" s="20"/>
      <c r="J17" s="20"/>
      <c r="K17" s="20"/>
      <c r="L17" s="20"/>
      <c r="M17" s="20" t="s">
        <v>24</v>
      </c>
      <c r="N17" s="20"/>
      <c r="O17" s="20"/>
      <c r="P17" s="18"/>
      <c r="Q17" s="18"/>
      <c r="R17" s="18"/>
      <c r="S17" s="22">
        <f t="shared" si="0"/>
        <v>1</v>
      </c>
      <c r="T17" s="44"/>
      <c r="U17" s="44"/>
      <c r="V17" s="44"/>
    </row>
    <row r="18" spans="1:22">
      <c r="A18" s="18"/>
      <c r="B18" s="18"/>
      <c r="C18" s="18"/>
      <c r="D18" s="18" t="s">
        <v>47</v>
      </c>
      <c r="E18" s="18" t="s">
        <v>59</v>
      </c>
      <c r="F18" s="18" t="s">
        <v>16</v>
      </c>
      <c r="G18" s="20"/>
      <c r="H18" s="20">
        <v>52</v>
      </c>
      <c r="I18" s="20">
        <v>54</v>
      </c>
      <c r="J18" s="20"/>
      <c r="K18" s="20">
        <v>24</v>
      </c>
      <c r="L18" s="20"/>
      <c r="M18" s="20" t="s">
        <v>24</v>
      </c>
      <c r="N18" s="20"/>
      <c r="O18" s="20"/>
      <c r="P18" s="18"/>
      <c r="Q18" s="18"/>
      <c r="R18" s="18"/>
      <c r="S18" s="22">
        <f t="shared" si="0"/>
        <v>1</v>
      </c>
      <c r="T18" s="44"/>
      <c r="U18" s="44"/>
      <c r="V18" s="44"/>
    </row>
    <row r="19" spans="1:22">
      <c r="A19" s="18"/>
      <c r="B19" s="18"/>
      <c r="C19" s="18"/>
      <c r="D19" s="18" t="s">
        <v>47</v>
      </c>
      <c r="E19" s="18" t="s">
        <v>60</v>
      </c>
      <c r="F19" s="18" t="s">
        <v>16</v>
      </c>
      <c r="G19" s="20"/>
      <c r="H19" s="20">
        <v>60</v>
      </c>
      <c r="I19" s="20"/>
      <c r="J19" s="20"/>
      <c r="K19" s="20"/>
      <c r="L19" s="20"/>
      <c r="M19" s="20" t="s">
        <v>24</v>
      </c>
      <c r="N19" s="20"/>
      <c r="O19" s="20"/>
      <c r="P19" s="18"/>
      <c r="Q19" s="18"/>
      <c r="R19" s="18"/>
      <c r="S19" s="22">
        <f t="shared" si="0"/>
        <v>1</v>
      </c>
      <c r="T19" s="44"/>
      <c r="U19" s="44"/>
      <c r="V19" s="44"/>
    </row>
    <row r="20" spans="1:22">
      <c r="A20" s="18"/>
      <c r="B20" s="18"/>
      <c r="C20" s="18"/>
      <c r="D20" s="18" t="s">
        <v>47</v>
      </c>
      <c r="E20" s="18" t="s">
        <v>61</v>
      </c>
      <c r="F20" s="18" t="s">
        <v>17</v>
      </c>
      <c r="G20" s="20"/>
      <c r="H20" s="20">
        <v>45</v>
      </c>
      <c r="I20" s="20">
        <v>23</v>
      </c>
      <c r="J20" s="20" t="s">
        <v>35</v>
      </c>
      <c r="K20" s="20"/>
      <c r="L20" s="20">
        <v>22</v>
      </c>
      <c r="M20" s="20" t="s">
        <v>24</v>
      </c>
      <c r="N20" s="20"/>
      <c r="O20" s="20"/>
      <c r="P20" s="18"/>
      <c r="Q20" s="18"/>
      <c r="R20" s="18"/>
      <c r="S20" s="22">
        <f t="shared" si="0"/>
        <v>1</v>
      </c>
      <c r="T20" s="44"/>
      <c r="U20" s="44"/>
      <c r="V20" s="44"/>
    </row>
    <row r="21" spans="1:22">
      <c r="A21" s="18"/>
      <c r="B21" s="18"/>
      <c r="C21" s="18"/>
      <c r="D21" s="18" t="s">
        <v>47</v>
      </c>
      <c r="E21" s="18" t="s">
        <v>62</v>
      </c>
      <c r="F21" s="18" t="s">
        <v>17</v>
      </c>
      <c r="G21" s="20"/>
      <c r="H21" s="20">
        <v>25</v>
      </c>
      <c r="I21" s="20">
        <v>22</v>
      </c>
      <c r="J21" s="20" t="s">
        <v>35</v>
      </c>
      <c r="K21" s="20">
        <v>35</v>
      </c>
      <c r="L21" s="20"/>
      <c r="M21" s="20" t="s">
        <v>25</v>
      </c>
      <c r="N21" s="20"/>
      <c r="O21" s="20"/>
      <c r="P21" s="18"/>
      <c r="Q21" s="18"/>
      <c r="R21" s="18"/>
      <c r="S21" s="22">
        <f t="shared" si="0"/>
        <v>1</v>
      </c>
      <c r="T21" s="44"/>
      <c r="U21" s="44"/>
      <c r="V21" s="44"/>
    </row>
    <row r="22" spans="1:22">
      <c r="A22" s="18"/>
      <c r="B22" s="18"/>
      <c r="C22" s="18"/>
      <c r="D22" s="18" t="s">
        <v>47</v>
      </c>
      <c r="E22" s="18" t="s">
        <v>63</v>
      </c>
      <c r="F22" s="18" t="s">
        <v>17</v>
      </c>
      <c r="G22" s="20"/>
      <c r="H22" s="20">
        <v>32</v>
      </c>
      <c r="I22" s="20">
        <v>12</v>
      </c>
      <c r="J22" s="20" t="s">
        <v>41</v>
      </c>
      <c r="K22" s="20"/>
      <c r="L22" s="20"/>
      <c r="M22" s="20" t="s">
        <v>24</v>
      </c>
      <c r="N22" s="20"/>
      <c r="O22" s="20"/>
      <c r="P22" s="18"/>
      <c r="Q22" s="18"/>
      <c r="R22" s="18"/>
      <c r="S22" s="22">
        <f t="shared" si="0"/>
        <v>1</v>
      </c>
      <c r="T22" s="44"/>
      <c r="U22" s="44"/>
      <c r="V22" s="44"/>
    </row>
    <row r="23" spans="1:22">
      <c r="A23" s="18"/>
      <c r="B23" s="18"/>
      <c r="C23" s="18"/>
      <c r="D23" s="18" t="s">
        <v>47</v>
      </c>
      <c r="E23" s="18" t="s">
        <v>64</v>
      </c>
      <c r="F23" s="18" t="s">
        <v>20</v>
      </c>
      <c r="G23" s="20"/>
      <c r="H23" s="20"/>
      <c r="I23" s="20"/>
      <c r="J23" s="20"/>
      <c r="K23" s="20"/>
      <c r="L23" s="20"/>
      <c r="M23" s="20" t="s">
        <v>26</v>
      </c>
      <c r="N23" s="20"/>
      <c r="O23" s="20"/>
      <c r="P23" s="18"/>
      <c r="Q23" s="18"/>
      <c r="R23" s="18"/>
      <c r="S23" s="22">
        <f t="shared" si="0"/>
        <v>1</v>
      </c>
      <c r="T23" s="44"/>
      <c r="U23" s="44"/>
      <c r="V23" s="44"/>
    </row>
    <row r="24" spans="1:22">
      <c r="A24" s="18"/>
      <c r="B24" s="18"/>
      <c r="C24" s="18"/>
      <c r="D24" s="18" t="s">
        <v>47</v>
      </c>
      <c r="E24" s="18" t="s">
        <v>65</v>
      </c>
      <c r="F24" s="18" t="s">
        <v>22</v>
      </c>
      <c r="G24" s="20"/>
      <c r="H24" s="20"/>
      <c r="I24" s="20">
        <v>35</v>
      </c>
      <c r="J24" s="20"/>
      <c r="K24" s="20"/>
      <c r="L24" s="20"/>
      <c r="M24" s="20" t="s">
        <v>24</v>
      </c>
      <c r="N24" s="20"/>
      <c r="O24" s="20"/>
      <c r="P24" s="18"/>
      <c r="Q24" s="18"/>
      <c r="R24" s="18"/>
      <c r="S24" s="22">
        <f t="shared" si="0"/>
        <v>1</v>
      </c>
      <c r="T24" s="44"/>
      <c r="U24" s="44"/>
      <c r="V24" s="44"/>
    </row>
    <row r="25" spans="1:22">
      <c r="A25" s="18"/>
      <c r="B25" s="18"/>
      <c r="C25" s="18"/>
      <c r="D25" s="18" t="s">
        <v>48</v>
      </c>
      <c r="E25" s="18" t="s">
        <v>66</v>
      </c>
      <c r="F25" s="18" t="s">
        <v>22</v>
      </c>
      <c r="G25" s="20"/>
      <c r="H25" s="20">
        <v>23</v>
      </c>
      <c r="I25" s="20"/>
      <c r="J25" s="20"/>
      <c r="K25" s="20"/>
      <c r="L25" s="20"/>
      <c r="M25" s="20" t="s">
        <v>24</v>
      </c>
      <c r="N25" s="20"/>
      <c r="O25" s="20"/>
      <c r="P25" s="18"/>
      <c r="Q25" s="18"/>
      <c r="R25" s="18"/>
      <c r="S25" s="22">
        <f t="shared" si="0"/>
        <v>1</v>
      </c>
      <c r="T25" s="44"/>
      <c r="U25" s="44"/>
      <c r="V25" s="44"/>
    </row>
    <row r="26" spans="1:22">
      <c r="A26" s="8" t="s">
        <v>10</v>
      </c>
      <c r="B26" s="9"/>
      <c r="C26" s="9"/>
      <c r="D26" s="9"/>
      <c r="E26" s="9"/>
      <c r="F26" s="10"/>
      <c r="G26" s="3">
        <f>_xlfn.AGGREGATE(9,3,Tableau2[Produits sans spécifications])</f>
        <v>301</v>
      </c>
      <c r="H26" s="3">
        <f>_xlfn.AGGREGATE(9,3,Tableau2[[BIO ]])</f>
        <v>379</v>
      </c>
      <c r="I26" s="3">
        <f>_xlfn.AGGREGATE(9,3,Tableau2[LOCAL Prix])</f>
        <v>146</v>
      </c>
      <c r="J26" s="3"/>
      <c r="K26" s="3">
        <f>_xlfn.AGGREGATE(9,3,Tableau2[[HVE ]])</f>
        <v>59</v>
      </c>
      <c r="L26" s="3">
        <f>_xlfn.AGGREGATE(9,3,Tableau2[SIQO Prix])</f>
        <v>44</v>
      </c>
      <c r="M26" s="3"/>
      <c r="N26" s="3">
        <f>_xlfn.AGGREGATE(9,3,Tableau2[Produit fermier])</f>
        <v>225</v>
      </c>
      <c r="O26" s="3">
        <f>_xlfn.AGGREGATE(9,3,Tableau2[[Ecolabel ]])</f>
        <v>78</v>
      </c>
      <c r="P26" s="3"/>
      <c r="Q26" s="3"/>
      <c r="R26" s="3"/>
      <c r="S26" s="3"/>
      <c r="T26" s="44"/>
      <c r="U26" s="44"/>
      <c r="V26" s="44"/>
    </row>
    <row r="27" spans="1:22">
      <c r="A27" s="64" t="s">
        <v>11</v>
      </c>
      <c r="B27" s="65"/>
      <c r="C27" s="65"/>
      <c r="D27" s="65"/>
      <c r="E27" s="65"/>
      <c r="F27" s="69"/>
      <c r="G27" s="70">
        <f>SUM(G26:O26)</f>
        <v>1232</v>
      </c>
      <c r="H27" s="71"/>
      <c r="I27" s="71"/>
      <c r="J27" s="71"/>
      <c r="K27" s="71"/>
      <c r="L27" s="71"/>
      <c r="M27" s="71"/>
      <c r="N27" s="71"/>
      <c r="O27" s="71"/>
      <c r="P27" s="1"/>
      <c r="Q27" s="1"/>
      <c r="R27" s="1"/>
      <c r="S27" s="1"/>
      <c r="T27" s="44"/>
      <c r="U27" s="44"/>
      <c r="V27" s="44"/>
    </row>
    <row r="28" spans="1:22">
      <c r="A28" s="66" t="s">
        <v>12</v>
      </c>
      <c r="B28" s="67"/>
      <c r="C28" s="67"/>
      <c r="D28" s="67"/>
      <c r="E28" s="67"/>
      <c r="F28" s="68"/>
      <c r="G28" s="13">
        <f t="shared" ref="G28:O28" si="1">(G26/$G$27)</f>
        <v>0.24431818181818182</v>
      </c>
      <c r="H28" s="4">
        <f t="shared" si="1"/>
        <v>0.30762987012987014</v>
      </c>
      <c r="I28" s="4">
        <f t="shared" si="1"/>
        <v>0.1185064935064935</v>
      </c>
      <c r="J28" s="4">
        <f t="shared" si="1"/>
        <v>0</v>
      </c>
      <c r="K28" s="4">
        <f t="shared" si="1"/>
        <v>4.7889610389610392E-2</v>
      </c>
      <c r="L28" s="4">
        <f t="shared" si="1"/>
        <v>3.5714285714285712E-2</v>
      </c>
      <c r="M28" s="4">
        <f t="shared" si="1"/>
        <v>0</v>
      </c>
      <c r="N28" s="4">
        <f t="shared" si="1"/>
        <v>0.18262987012987014</v>
      </c>
      <c r="O28" s="5">
        <f t="shared" si="1"/>
        <v>6.3311688311688305E-2</v>
      </c>
      <c r="P28" s="1"/>
      <c r="Q28" s="1"/>
      <c r="R28" s="1"/>
      <c r="S28" s="1"/>
      <c r="T28" s="44"/>
      <c r="U28" s="44"/>
      <c r="V28" s="44"/>
    </row>
    <row r="29" spans="1:22">
      <c r="A29" s="64"/>
      <c r="B29" s="65"/>
      <c r="C29" s="65"/>
      <c r="D29" s="65"/>
      <c r="E29" s="65"/>
      <c r="F29" s="65"/>
      <c r="G29" s="15">
        <f>G28</f>
        <v>0.24431818181818182</v>
      </c>
      <c r="H29" s="48">
        <f>SUM(H28:O28)</f>
        <v>0.75568181818181823</v>
      </c>
      <c r="I29" s="49"/>
      <c r="J29" s="49"/>
      <c r="K29" s="49"/>
      <c r="L29" s="49"/>
      <c r="M29" s="49"/>
      <c r="N29" s="49"/>
      <c r="O29" s="49"/>
      <c r="P29" s="49"/>
      <c r="Q29" s="50"/>
      <c r="R29" s="1"/>
      <c r="S29" s="1"/>
      <c r="T29" s="44"/>
      <c r="U29" s="44"/>
      <c r="V29" s="44"/>
    </row>
    <row r="30" spans="1:22">
      <c r="A30" s="64"/>
      <c r="B30" s="65"/>
      <c r="C30" s="65"/>
      <c r="D30" s="65"/>
      <c r="E30" s="65"/>
      <c r="F30" s="65"/>
      <c r="G30" s="14"/>
      <c r="H30" s="4">
        <f>H28</f>
        <v>0.30762987012987014</v>
      </c>
      <c r="I30" s="51">
        <f>H29-H28</f>
        <v>0.44805194805194809</v>
      </c>
      <c r="J30" s="49"/>
      <c r="K30" s="49"/>
      <c r="L30" s="49"/>
      <c r="M30" s="49"/>
      <c r="N30" s="49"/>
      <c r="O30" s="49"/>
      <c r="P30" s="49"/>
      <c r="Q30" s="50"/>
      <c r="R30" s="1"/>
      <c r="S30" s="1"/>
      <c r="T30" s="44"/>
      <c r="U30" s="44"/>
      <c r="V30" s="44"/>
    </row>
    <row r="31" spans="1:2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</row>
    <row r="32" spans="1:2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</row>
    <row r="33" spans="1:2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</row>
    <row r="34" spans="1:2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</row>
    <row r="35" spans="1:2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</row>
    <row r="36" spans="1:2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</row>
    <row r="37" spans="1:2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</row>
    <row r="38" spans="1:2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</row>
    <row r="39" spans="1:2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</row>
    <row r="40" spans="1:2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</row>
    <row r="41" spans="1:2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</row>
    <row r="42" spans="1:2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</row>
    <row r="43" spans="1:2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</row>
    <row r="44" spans="1:2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</row>
    <row r="45" spans="1:2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</row>
    <row r="46" spans="1:2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</row>
    <row r="47" spans="1:2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</row>
    <row r="48" spans="1:2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</row>
    <row r="49" spans="1:2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</row>
    <row r="50" spans="1:2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</row>
  </sheetData>
  <mergeCells count="24">
    <mergeCell ref="A4:A6"/>
    <mergeCell ref="A31:V50"/>
    <mergeCell ref="B4:B6"/>
    <mergeCell ref="C4:C6"/>
    <mergeCell ref="D4:D6"/>
    <mergeCell ref="E4:E6"/>
    <mergeCell ref="F4:F6"/>
    <mergeCell ref="G4:S4"/>
    <mergeCell ref="H5:S5"/>
    <mergeCell ref="A29:F29"/>
    <mergeCell ref="A28:F28"/>
    <mergeCell ref="A27:F27"/>
    <mergeCell ref="G27:O27"/>
    <mergeCell ref="A30:F30"/>
    <mergeCell ref="G5:G6"/>
    <mergeCell ref="I6:J6"/>
    <mergeCell ref="L6:M6"/>
    <mergeCell ref="T1:V30"/>
    <mergeCell ref="C1:S3"/>
    <mergeCell ref="B1:B3"/>
    <mergeCell ref="H29:Q29"/>
    <mergeCell ref="I30:Q30"/>
    <mergeCell ref="P6:Q6"/>
    <mergeCell ref="R6:S6"/>
  </mergeCells>
  <phoneticPr fontId="3" type="noConversion"/>
  <conditionalFormatting sqref="H30">
    <cfRule type="cellIs" dxfId="168" priority="6" operator="lessThan">
      <formula>20%</formula>
    </cfRule>
    <cfRule type="cellIs" dxfId="167" priority="7" operator="greaterThan">
      <formula>20%</formula>
    </cfRule>
  </conditionalFormatting>
  <conditionalFormatting sqref="I30">
    <cfRule type="cellIs" dxfId="166" priority="3" operator="lessThan">
      <formula>30%</formula>
    </cfRule>
    <cfRule type="cellIs" priority="4" operator="lessThan">
      <formula>30%</formula>
    </cfRule>
    <cfRule type="cellIs" dxfId="165" priority="5" operator="greaterThan">
      <formula>30%</formula>
    </cfRule>
  </conditionalFormatting>
  <conditionalFormatting sqref="H29">
    <cfRule type="cellIs" dxfId="164" priority="1" operator="lessThan">
      <formula>50%</formula>
    </cfRule>
    <cfRule type="cellIs" dxfId="163" priority="2" operator="greaterThan">
      <formula>50%</formula>
    </cfRule>
  </conditionalFormatting>
  <dataValidations count="5">
    <dataValidation type="list" allowBlank="1" showInputMessage="1" showErrorMessage="1" sqref="F8:F25" xr:uid="{0C718A48-2674-4419-843F-8E8D4DB2B42E}">
      <formula1>Gamme</formula1>
    </dataValidation>
    <dataValidation type="list" allowBlank="1" showInputMessage="1" showErrorMessage="1" sqref="M8:M25" xr:uid="{A9019B03-F2A3-4AB2-8A77-A34BF59AE716}">
      <formula1>SIQO</formula1>
    </dataValidation>
    <dataValidation type="list" allowBlank="1" showInputMessage="1" showErrorMessage="1" sqref="J8:J25" xr:uid="{77D41AE9-7FCE-4814-BAE6-884E893F0FC3}">
      <formula1>LOCAL</formula1>
    </dataValidation>
    <dataValidation type="list" allowBlank="1" showInputMessage="1" showErrorMessage="1" sqref="Q8:Q25" xr:uid="{1C7C5108-E719-410E-9BF2-16E5686F3707}">
      <formula1>AUTRES</formula1>
    </dataValidation>
    <dataValidation type="list" allowBlank="1" showInputMessage="1" showErrorMessage="1" sqref="D8:D25" xr:uid="{ED2B0C34-8A61-4A73-82E2-F96E5E39C2E3}">
      <formula1>type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9B8B-4C8D-4F02-800E-B7C61B8E0F42}">
  <dimension ref="B4:J14"/>
  <sheetViews>
    <sheetView workbookViewId="0">
      <selection activeCell="C30" sqref="C30"/>
    </sheetView>
  </sheetViews>
  <sheetFormatPr baseColWidth="10" defaultRowHeight="14.4"/>
  <cols>
    <col min="2" max="2" width="22" customWidth="1"/>
    <col min="4" max="4" width="13.33203125" customWidth="1"/>
    <col min="6" max="6" width="28.88671875" customWidth="1"/>
    <col min="8" max="8" width="25.88671875" customWidth="1"/>
  </cols>
  <sheetData>
    <row r="4" spans="2:10">
      <c r="B4" s="1" t="s">
        <v>13</v>
      </c>
      <c r="D4" t="s">
        <v>24</v>
      </c>
      <c r="F4" t="s">
        <v>35</v>
      </c>
      <c r="H4" t="s">
        <v>42</v>
      </c>
      <c r="J4" t="s">
        <v>47</v>
      </c>
    </row>
    <row r="5" spans="2:10">
      <c r="B5" s="1" t="s">
        <v>14</v>
      </c>
      <c r="D5" t="s">
        <v>25</v>
      </c>
      <c r="F5" t="s">
        <v>36</v>
      </c>
      <c r="H5" t="s">
        <v>43</v>
      </c>
      <c r="J5" t="s">
        <v>48</v>
      </c>
    </row>
    <row r="6" spans="2:10">
      <c r="B6" s="2" t="s">
        <v>15</v>
      </c>
      <c r="D6" t="s">
        <v>26</v>
      </c>
      <c r="F6" t="s">
        <v>37</v>
      </c>
      <c r="H6" t="s">
        <v>44</v>
      </c>
    </row>
    <row r="7" spans="2:10">
      <c r="B7" s="1" t="s">
        <v>16</v>
      </c>
      <c r="D7" t="s">
        <v>27</v>
      </c>
      <c r="F7" t="s">
        <v>38</v>
      </c>
    </row>
    <row r="8" spans="2:10">
      <c r="B8" s="1" t="s">
        <v>17</v>
      </c>
      <c r="D8" t="s">
        <v>28</v>
      </c>
      <c r="F8" t="s">
        <v>39</v>
      </c>
    </row>
    <row r="9" spans="2:10">
      <c r="B9" s="1" t="s">
        <v>18</v>
      </c>
      <c r="F9" t="s">
        <v>40</v>
      </c>
    </row>
    <row r="10" spans="2:10">
      <c r="B10" s="1" t="s">
        <v>19</v>
      </c>
      <c r="F10" t="s">
        <v>41</v>
      </c>
    </row>
    <row r="11" spans="2:10">
      <c r="B11" s="1" t="s">
        <v>20</v>
      </c>
    </row>
    <row r="12" spans="2:10">
      <c r="B12" s="1" t="s">
        <v>21</v>
      </c>
    </row>
    <row r="13" spans="2:10">
      <c r="B13" s="1" t="s">
        <v>22</v>
      </c>
    </row>
    <row r="14" spans="2:10">
      <c r="B14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ACFA-F33A-4E31-8CD9-98909301BFE1}">
  <dimension ref="B5:Q99"/>
  <sheetViews>
    <sheetView showGridLines="0" topLeftCell="A34" workbookViewId="0">
      <selection activeCell="A13" sqref="A13"/>
    </sheetView>
  </sheetViews>
  <sheetFormatPr baseColWidth="10" defaultRowHeight="14.4"/>
  <cols>
    <col min="2" max="2" width="19.6640625" bestFit="1" customWidth="1"/>
    <col min="3" max="10" width="12.6640625" customWidth="1"/>
  </cols>
  <sheetData>
    <row r="5" spans="2:13">
      <c r="B5" s="91" t="s">
        <v>16</v>
      </c>
      <c r="C5" s="91"/>
      <c r="D5" s="91"/>
      <c r="E5" s="91"/>
      <c r="F5" s="91"/>
    </row>
    <row r="6" spans="2:13">
      <c r="B6" s="92"/>
      <c r="C6" s="92"/>
      <c r="D6" s="92"/>
      <c r="E6" s="92"/>
      <c r="F6" s="92"/>
    </row>
    <row r="7" spans="2:13" ht="15" thickBot="1">
      <c r="B7" s="83" t="s">
        <v>77</v>
      </c>
      <c r="C7" s="84"/>
      <c r="D7" s="85"/>
      <c r="E7" s="25"/>
      <c r="F7" s="25" t="s">
        <v>76</v>
      </c>
    </row>
    <row r="8" spans="2:13">
      <c r="B8" s="86" t="s">
        <v>78</v>
      </c>
      <c r="C8" s="86"/>
      <c r="D8" s="86"/>
      <c r="E8" s="31">
        <f>GETPIVOTDATA("Produits sans spécifications ",$B$18,"Gamme ","Fruits")/GETPIVOTDATA("Produits sans spécifications ",$B$18)</f>
        <v>0</v>
      </c>
      <c r="F8" s="26">
        <f>GETPIVOTDATA("Produits sans spécifications ",$B$18,"Gamme ","Fruits")</f>
        <v>0</v>
      </c>
      <c r="H8" s="74" t="s">
        <v>85</v>
      </c>
      <c r="I8" s="75"/>
      <c r="J8" s="75"/>
      <c r="K8" s="75"/>
      <c r="L8" s="75"/>
      <c r="M8" s="76"/>
    </row>
    <row r="9" spans="2:13">
      <c r="B9" s="86" t="s">
        <v>86</v>
      </c>
      <c r="C9" s="86"/>
      <c r="D9" s="86"/>
      <c r="E9" s="31">
        <f>GETPIVOTDATA("BIO",$B$18,"Gamme ","Fruits")/GETPIVOTDATA("BIO",$B$18)</f>
        <v>0.29551451187335093</v>
      </c>
      <c r="F9" s="26">
        <f>GETPIVOTDATA("BIO",$B$18,"Gamme ","Fruits")</f>
        <v>112</v>
      </c>
      <c r="H9" s="77"/>
      <c r="I9" s="78"/>
      <c r="J9" s="78"/>
      <c r="K9" s="78"/>
      <c r="L9" s="78"/>
      <c r="M9" s="79"/>
    </row>
    <row r="10" spans="2:13">
      <c r="B10" s="86" t="s">
        <v>87</v>
      </c>
      <c r="C10" s="86"/>
      <c r="D10" s="86"/>
      <c r="E10" s="31">
        <f>GETPIVOTDATA("LOCAL",$B$18,"Gamme ","Fruits")/GETPIVOTDATA("LOCAL",$B$18)</f>
        <v>0.36986301369863012</v>
      </c>
      <c r="F10" s="26">
        <f>GETPIVOTDATA("LOCAL",$B$18,"Gamme ","Fruits")</f>
        <v>54</v>
      </c>
      <c r="H10" s="77"/>
      <c r="I10" s="78"/>
      <c r="J10" s="78"/>
      <c r="K10" s="78"/>
      <c r="L10" s="78"/>
      <c r="M10" s="79"/>
    </row>
    <row r="11" spans="2:13">
      <c r="B11" s="86" t="s">
        <v>88</v>
      </c>
      <c r="C11" s="86"/>
      <c r="D11" s="86"/>
      <c r="E11" s="31">
        <f>GETPIVOTDATA("HVE",$B$18,"Gamme ","Fruits")/GETPIVOTDATA("HVE",$B$18)</f>
        <v>0.40677966101694918</v>
      </c>
      <c r="F11" s="26">
        <f>GETPIVOTDATA("HVE",$B$18,"Gamme ","Fruits")</f>
        <v>24</v>
      </c>
      <c r="H11" s="77"/>
      <c r="I11" s="78"/>
      <c r="J11" s="78"/>
      <c r="K11" s="78"/>
      <c r="L11" s="78"/>
      <c r="M11" s="79"/>
    </row>
    <row r="12" spans="2:13" ht="15" thickBot="1">
      <c r="B12" s="86" t="s">
        <v>102</v>
      </c>
      <c r="C12" s="86"/>
      <c r="D12" s="86"/>
      <c r="E12" s="31">
        <f>GETPIVOTDATA("SIQO",$B$18,"Gamme ","Fruits")/GETPIVOTDATA("SIQO",$B$18)</f>
        <v>0</v>
      </c>
      <c r="F12" s="26">
        <f>GETPIVOTDATA("SIQO",$B$18,"Gamme ","Fruits")</f>
        <v>0</v>
      </c>
      <c r="H12" s="80"/>
      <c r="I12" s="81"/>
      <c r="J12" s="81"/>
      <c r="K12" s="81"/>
      <c r="L12" s="81"/>
      <c r="M12" s="82"/>
    </row>
    <row r="13" spans="2:13">
      <c r="B13" s="86" t="s">
        <v>89</v>
      </c>
      <c r="C13" s="86"/>
      <c r="D13" s="86"/>
      <c r="E13" s="31">
        <f>GETPIVOTDATA("Produit fermier ",$B$18,"Gamme ","Fruits")/GETPIVOTDATA("Produit fermier ",$B$18)</f>
        <v>0</v>
      </c>
      <c r="F13" s="26">
        <f>GETPIVOTDATA("Produit fermier ",$B$18,"Gamme ","Fruits")</f>
        <v>0</v>
      </c>
    </row>
    <row r="14" spans="2:13">
      <c r="B14" s="86" t="s">
        <v>90</v>
      </c>
      <c r="C14" s="86"/>
      <c r="D14" s="86"/>
      <c r="E14" s="31">
        <f>GETPIVOTDATA("Ecolabel",$B$18,"Gamme ","Fruits")/GETPIVOTDATA("Ecolabel",$B$18)</f>
        <v>0</v>
      </c>
      <c r="F14" s="26">
        <f>GETPIVOTDATA("Ecolabel",$B$18,"Gamme ","Fruits")</f>
        <v>0</v>
      </c>
    </row>
    <row r="15" spans="2:13">
      <c r="B15" s="86" t="s">
        <v>91</v>
      </c>
      <c r="C15" s="86"/>
      <c r="D15" s="86"/>
      <c r="E15" s="31" t="e">
        <f>GETPIVOTDATA("Autres",$B$18,"Gamme ","Fruits")/GETPIVOTDATA("Autres",$B$18)</f>
        <v>#DIV/0!</v>
      </c>
      <c r="F15" s="27">
        <f>GETPIVOTDATA("Autres",$B$18,"Gamme ","Fruits")</f>
        <v>0</v>
      </c>
    </row>
    <row r="16" spans="2:13">
      <c r="B16" s="87" t="s">
        <v>79</v>
      </c>
      <c r="C16" s="87"/>
      <c r="D16" s="87"/>
      <c r="E16" s="24"/>
      <c r="F16" s="27">
        <f>SUM(F8:F15)</f>
        <v>190</v>
      </c>
    </row>
    <row r="18" spans="2:17" s="28" customFormat="1" ht="28.8">
      <c r="B18" s="29" t="s">
        <v>5</v>
      </c>
      <c r="C18" s="30" t="s">
        <v>80</v>
      </c>
      <c r="D18" s="30" t="s">
        <v>81</v>
      </c>
      <c r="E18" s="30" t="s">
        <v>82</v>
      </c>
      <c r="F18" s="30" t="s">
        <v>45</v>
      </c>
      <c r="G18" s="30" t="s">
        <v>31</v>
      </c>
      <c r="H18" s="30" t="s">
        <v>84</v>
      </c>
      <c r="I18" s="30" t="s">
        <v>83</v>
      </c>
      <c r="J18" s="30" t="s">
        <v>34</v>
      </c>
    </row>
    <row r="19" spans="2:17">
      <c r="B19" s="24" t="s">
        <v>13</v>
      </c>
      <c r="C19" s="26">
        <v>115</v>
      </c>
      <c r="D19" s="26">
        <v>22</v>
      </c>
      <c r="E19" s="26"/>
      <c r="F19" s="26"/>
      <c r="G19" s="26">
        <v>22</v>
      </c>
      <c r="H19" s="26"/>
      <c r="I19" s="26"/>
      <c r="J19" s="26"/>
    </row>
    <row r="20" spans="2:17">
      <c r="B20" s="24" t="s">
        <v>20</v>
      </c>
      <c r="C20" s="26"/>
      <c r="D20" s="26"/>
      <c r="E20" s="26"/>
      <c r="F20" s="26"/>
      <c r="G20" s="26"/>
      <c r="H20" s="26"/>
      <c r="I20" s="26"/>
      <c r="J20" s="26"/>
    </row>
    <row r="21" spans="2:17">
      <c r="B21" s="24" t="s">
        <v>22</v>
      </c>
      <c r="C21" s="26"/>
      <c r="D21" s="26">
        <v>23</v>
      </c>
      <c r="E21" s="26">
        <v>35</v>
      </c>
      <c r="F21" s="26"/>
      <c r="G21" s="26"/>
      <c r="H21" s="26"/>
      <c r="I21" s="26"/>
      <c r="J21" s="26"/>
    </row>
    <row r="22" spans="2:17">
      <c r="B22" s="24" t="s">
        <v>19</v>
      </c>
      <c r="C22" s="26"/>
      <c r="D22" s="26"/>
      <c r="E22" s="26"/>
      <c r="F22" s="26"/>
      <c r="G22" s="26"/>
      <c r="H22" s="26"/>
      <c r="I22" s="26"/>
      <c r="J22" s="26"/>
    </row>
    <row r="23" spans="2:17">
      <c r="B23" s="24" t="s">
        <v>16</v>
      </c>
      <c r="C23" s="26"/>
      <c r="D23" s="26">
        <v>112</v>
      </c>
      <c r="E23" s="26">
        <v>54</v>
      </c>
      <c r="F23" s="26">
        <v>24</v>
      </c>
      <c r="G23" s="26"/>
      <c r="H23" s="26"/>
      <c r="I23" s="26"/>
      <c r="J23" s="26"/>
    </row>
    <row r="24" spans="2:17">
      <c r="B24" s="24" t="s">
        <v>17</v>
      </c>
      <c r="C24" s="26"/>
      <c r="D24" s="26">
        <v>102</v>
      </c>
      <c r="E24" s="26">
        <v>57</v>
      </c>
      <c r="F24" s="26">
        <v>35</v>
      </c>
      <c r="G24" s="26">
        <v>22</v>
      </c>
      <c r="H24" s="26"/>
      <c r="I24" s="26"/>
      <c r="J24" s="26"/>
    </row>
    <row r="25" spans="2:17">
      <c r="B25" s="24" t="s">
        <v>18</v>
      </c>
      <c r="C25" s="26"/>
      <c r="D25" s="26"/>
      <c r="E25" s="26"/>
      <c r="F25" s="26"/>
      <c r="G25" s="26"/>
      <c r="H25" s="26"/>
      <c r="I25" s="26">
        <v>78</v>
      </c>
      <c r="J25" s="26"/>
    </row>
    <row r="26" spans="2:17">
      <c r="B26" s="24" t="s">
        <v>14</v>
      </c>
      <c r="C26" s="26">
        <v>25</v>
      </c>
      <c r="D26" s="26">
        <v>120</v>
      </c>
      <c r="E26" s="26"/>
      <c r="F26" s="26"/>
      <c r="G26" s="26"/>
      <c r="H26" s="26"/>
      <c r="I26" s="26"/>
      <c r="J26" s="26"/>
    </row>
    <row r="27" spans="2:17">
      <c r="B27" s="24" t="s">
        <v>15</v>
      </c>
      <c r="C27" s="26">
        <v>161</v>
      </c>
      <c r="D27" s="26"/>
      <c r="E27" s="26"/>
      <c r="F27" s="26"/>
      <c r="G27" s="26"/>
      <c r="H27" s="26">
        <v>2</v>
      </c>
      <c r="I27" s="26"/>
      <c r="J27" s="26"/>
    </row>
    <row r="28" spans="2:17">
      <c r="B28" t="s">
        <v>46</v>
      </c>
      <c r="C28" s="33">
        <v>301</v>
      </c>
      <c r="D28" s="33">
        <v>379</v>
      </c>
      <c r="E28" s="33">
        <v>146</v>
      </c>
      <c r="F28" s="33">
        <v>59</v>
      </c>
      <c r="G28" s="33">
        <v>44</v>
      </c>
      <c r="H28" s="33">
        <v>2</v>
      </c>
      <c r="I28" s="33">
        <v>78</v>
      </c>
      <c r="J28" s="33"/>
    </row>
    <row r="30" spans="2:17">
      <c r="B30" s="83" t="s">
        <v>77</v>
      </c>
      <c r="C30" s="84"/>
      <c r="D30" s="85"/>
      <c r="E30" s="32" t="s">
        <v>101</v>
      </c>
      <c r="F30" s="25" t="s">
        <v>76</v>
      </c>
      <c r="L30" s="35"/>
      <c r="M30" s="35"/>
      <c r="N30" s="35"/>
      <c r="O30" s="35"/>
      <c r="P30" s="35"/>
      <c r="Q30" s="35"/>
    </row>
    <row r="31" spans="2:17">
      <c r="B31" s="86" t="s">
        <v>100</v>
      </c>
      <c r="C31" s="86"/>
      <c r="D31" s="86"/>
      <c r="E31" s="31">
        <f>GETPIVOTDATA("Produits sans spécifications ",$B$18,"Gamme ","Boisson")/GETPIVOTDATA("Produits sans spécifications ",$B$18)</f>
        <v>0</v>
      </c>
      <c r="F31" s="26">
        <f>GETPIVOTDATA("Produits sans spécifications ",$B$18,"Gamme ","Boisson")</f>
        <v>0</v>
      </c>
      <c r="L31" s="35"/>
      <c r="M31" s="56"/>
      <c r="N31" s="56"/>
      <c r="O31" s="56"/>
      <c r="P31" s="56"/>
      <c r="Q31" s="56"/>
    </row>
    <row r="32" spans="2:17" ht="15" thickBot="1">
      <c r="B32" s="86" t="s">
        <v>99</v>
      </c>
      <c r="C32" s="86"/>
      <c r="D32" s="86"/>
      <c r="E32" s="31">
        <f>GETPIVOTDATA("BIO",$B$18,"Gamme ","Boisson")/GETPIVOTDATA("BIO",$B$18)</f>
        <v>0</v>
      </c>
      <c r="F32" s="26">
        <f>GETPIVOTDATA("BIO",$B$18,"Gamme ","Boisson")</f>
        <v>0</v>
      </c>
      <c r="L32" s="35"/>
      <c r="M32" s="56"/>
      <c r="N32" s="56"/>
      <c r="O32" s="56"/>
      <c r="P32" s="56"/>
      <c r="Q32" s="56"/>
    </row>
    <row r="33" spans="2:17" ht="15" thickBot="1">
      <c r="B33" s="86" t="s">
        <v>98</v>
      </c>
      <c r="C33" s="86"/>
      <c r="D33" s="86"/>
      <c r="E33" s="31">
        <f>GETPIVOTDATA("LOCAL",$B$18,"Gamme ","Boisson")/GETPIVOTDATA("LOCAL",$B$18)</f>
        <v>0</v>
      </c>
      <c r="F33" s="26">
        <f>GETPIVOTDATA("LOCAL",$B$18,"Gamme ","Boisson")</f>
        <v>0</v>
      </c>
      <c r="I33" s="34"/>
      <c r="L33" s="95" t="s">
        <v>103</v>
      </c>
      <c r="M33" s="96"/>
      <c r="N33" s="96"/>
      <c r="O33" s="97"/>
      <c r="P33" s="38" t="s">
        <v>101</v>
      </c>
      <c r="Q33" s="35"/>
    </row>
    <row r="34" spans="2:17">
      <c r="B34" s="86" t="s">
        <v>45</v>
      </c>
      <c r="C34" s="86"/>
      <c r="D34" s="86"/>
      <c r="E34" s="31">
        <f>GETPIVOTDATA("HVE",$B$18,"Gamme ","Boisson")/GETPIVOTDATA("HVE",$B$18)</f>
        <v>0</v>
      </c>
      <c r="F34" s="26">
        <f>GETPIVOTDATA("HVE",$B$18,"Gamme ","Boisson")</f>
        <v>0</v>
      </c>
      <c r="L34" s="113" t="s">
        <v>104</v>
      </c>
      <c r="M34" s="98" t="s">
        <v>105</v>
      </c>
      <c r="N34" s="99"/>
      <c r="O34" s="100"/>
      <c r="P34" s="40">
        <f t="shared" ref="P34:P40" si="0">F8/$F$16</f>
        <v>0</v>
      </c>
      <c r="Q34" s="35"/>
    </row>
    <row r="35" spans="2:17">
      <c r="B35" s="86" t="s">
        <v>97</v>
      </c>
      <c r="C35" s="86"/>
      <c r="D35" s="86"/>
      <c r="E35" s="31">
        <f>GETPIVOTDATA("SIQO",$B$18,"Gamme ","Boisson")/GETPIVOTDATA("SIQO",$B$18)</f>
        <v>0</v>
      </c>
      <c r="F35" s="26">
        <f>GETPIVOTDATA("SIQO",$B$18,"Gamme ","Boisson")</f>
        <v>0</v>
      </c>
      <c r="L35" s="106"/>
      <c r="M35" s="101" t="s">
        <v>106</v>
      </c>
      <c r="N35" s="102"/>
      <c r="O35" s="103"/>
      <c r="P35" s="40">
        <f t="shared" si="0"/>
        <v>0.58947368421052626</v>
      </c>
      <c r="Q35" s="35"/>
    </row>
    <row r="36" spans="2:17">
      <c r="B36" s="86" t="s">
        <v>96</v>
      </c>
      <c r="C36" s="86"/>
      <c r="D36" s="86"/>
      <c r="E36" s="31">
        <f>GETPIVOTDATA("Produit fermier ",$B$18,"Gamme ","Boisson")/GETPIVOTDATA("Produit fermier ",$B$18)</f>
        <v>0</v>
      </c>
      <c r="F36" s="26">
        <f>GETPIVOTDATA("Produit fermier ",$B$18,"Gamme ","Boisson")</f>
        <v>0</v>
      </c>
      <c r="L36" s="106"/>
      <c r="M36" s="101" t="s">
        <v>82</v>
      </c>
      <c r="N36" s="102"/>
      <c r="O36" s="103"/>
      <c r="P36" s="40">
        <f t="shared" si="0"/>
        <v>0.28421052631578947</v>
      </c>
      <c r="Q36" s="35"/>
    </row>
    <row r="37" spans="2:17">
      <c r="B37" s="86" t="s">
        <v>95</v>
      </c>
      <c r="C37" s="86"/>
      <c r="D37" s="86"/>
      <c r="E37" s="31">
        <f>GETPIVOTDATA("Ecolabel",$B$18,"Gamme ","Boisson")/GETPIVOTDATA("Ecolabel",$B$18)</f>
        <v>0</v>
      </c>
      <c r="F37" s="26">
        <f>GETPIVOTDATA("Ecolabel",$B$18,"Gamme ","Boisson")</f>
        <v>0</v>
      </c>
      <c r="L37" s="106"/>
      <c r="M37" s="101" t="s">
        <v>45</v>
      </c>
      <c r="N37" s="102"/>
      <c r="O37" s="103"/>
      <c r="P37" s="40">
        <f t="shared" si="0"/>
        <v>0.12631578947368421</v>
      </c>
      <c r="Q37" s="35"/>
    </row>
    <row r="38" spans="2:17">
      <c r="B38" s="86" t="s">
        <v>94</v>
      </c>
      <c r="C38" s="86"/>
      <c r="D38" s="86"/>
      <c r="E38" s="31" t="e">
        <f>GETPIVOTDATA("Autres",$B$18,"Gamme ","Boisson")/GETPIVOTDATA("Autres",$B$18)</f>
        <v>#DIV/0!</v>
      </c>
      <c r="F38" s="26">
        <f>GETPIVOTDATA("Autres",$B$18,"Gamme ","Boisson")</f>
        <v>0</v>
      </c>
      <c r="L38" s="106"/>
      <c r="M38" s="101" t="s">
        <v>31</v>
      </c>
      <c r="N38" s="102"/>
      <c r="O38" s="103"/>
      <c r="P38" s="40">
        <f t="shared" si="0"/>
        <v>0</v>
      </c>
      <c r="Q38" s="35"/>
    </row>
    <row r="39" spans="2:17">
      <c r="B39" s="87" t="s">
        <v>79</v>
      </c>
      <c r="C39" s="87"/>
      <c r="D39" s="87"/>
      <c r="E39" s="31"/>
      <c r="F39" s="26">
        <f>SUM(F31:F38)</f>
        <v>0</v>
      </c>
      <c r="L39" s="106"/>
      <c r="M39" s="101" t="s">
        <v>107</v>
      </c>
      <c r="N39" s="102"/>
      <c r="O39" s="103"/>
      <c r="P39" s="40">
        <f t="shared" si="0"/>
        <v>0</v>
      </c>
      <c r="Q39" s="35"/>
    </row>
    <row r="40" spans="2:17">
      <c r="B40" s="93" t="s">
        <v>92</v>
      </c>
      <c r="C40" s="93"/>
      <c r="D40" s="93"/>
      <c r="E40" s="93"/>
      <c r="F40" s="93"/>
      <c r="L40" s="106"/>
      <c r="M40" s="88" t="s">
        <v>108</v>
      </c>
      <c r="N40" s="88"/>
      <c r="O40" s="88"/>
      <c r="P40" s="40">
        <f t="shared" si="0"/>
        <v>0</v>
      </c>
      <c r="Q40" s="35"/>
    </row>
    <row r="41" spans="2:17">
      <c r="B41" s="94"/>
      <c r="C41" s="94"/>
      <c r="D41" s="94"/>
      <c r="E41" s="94"/>
      <c r="F41" s="94"/>
      <c r="L41" s="106"/>
      <c r="M41" s="106" t="s">
        <v>34</v>
      </c>
      <c r="N41" s="106"/>
      <c r="O41" s="106"/>
      <c r="P41" s="40">
        <f>F15/$F$16</f>
        <v>0</v>
      </c>
      <c r="Q41" s="35"/>
    </row>
    <row r="42" spans="2:17">
      <c r="B42" s="83" t="s">
        <v>77</v>
      </c>
      <c r="C42" s="84"/>
      <c r="D42" s="85"/>
      <c r="E42" s="32" t="s">
        <v>101</v>
      </c>
      <c r="F42" s="25" t="s">
        <v>76</v>
      </c>
      <c r="L42" s="114" t="s">
        <v>93</v>
      </c>
      <c r="M42" s="107" t="s">
        <v>105</v>
      </c>
      <c r="N42" s="108"/>
      <c r="O42" s="109"/>
      <c r="P42" s="37" t="e">
        <f>F31/$F$39</f>
        <v>#DIV/0!</v>
      </c>
      <c r="Q42" s="35"/>
    </row>
    <row r="43" spans="2:17">
      <c r="B43" s="86" t="s">
        <v>100</v>
      </c>
      <c r="C43" s="86"/>
      <c r="D43" s="86"/>
      <c r="E43" s="31">
        <f>GETPIVOTDATA("Produits sans spécifications ",$B$18,"Gamme ","Viandes ")/GETPIVOTDATA("Produits sans spécifications ",$B$18)</f>
        <v>8.3056478405315617E-2</v>
      </c>
      <c r="F43" s="26">
        <f>GETPIVOTDATA("Produits sans spécifications ",$B$18,"Gamme ","Viandes ")</f>
        <v>25</v>
      </c>
      <c r="L43" s="105"/>
      <c r="M43" s="110" t="s">
        <v>106</v>
      </c>
      <c r="N43" s="111"/>
      <c r="O43" s="112"/>
      <c r="P43" s="37" t="e">
        <f t="shared" ref="P43:P49" si="1">F32/$F$39</f>
        <v>#DIV/0!</v>
      </c>
      <c r="Q43" s="35"/>
    </row>
    <row r="44" spans="2:17">
      <c r="B44" s="86" t="s">
        <v>99</v>
      </c>
      <c r="C44" s="86"/>
      <c r="D44" s="86"/>
      <c r="E44" s="31">
        <f>GETPIVOTDATA("BIO",$B$18,"Gamme ","Viandes ")/GETPIVOTDATA("BIO",$B$18)</f>
        <v>0.31662269129287601</v>
      </c>
      <c r="F44" s="26">
        <f>GETPIVOTDATA("BIO",$B$18,"Gamme ","Viandes ")</f>
        <v>120</v>
      </c>
      <c r="L44" s="105"/>
      <c r="M44" s="110" t="s">
        <v>82</v>
      </c>
      <c r="N44" s="111"/>
      <c r="O44" s="112"/>
      <c r="P44" s="37" t="e">
        <f t="shared" si="1"/>
        <v>#DIV/0!</v>
      </c>
    </row>
    <row r="45" spans="2:17">
      <c r="B45" s="86" t="s">
        <v>98</v>
      </c>
      <c r="C45" s="86"/>
      <c r="D45" s="86"/>
      <c r="E45" s="31">
        <f>GETPIVOTDATA("LOCAL",$B$18,"Gamme ","Viandes ")/GETPIVOTDATA("LOCAL",$B$18)</f>
        <v>0</v>
      </c>
      <c r="F45" s="26">
        <f>GETPIVOTDATA("LOCAL",$B$18,"Gamme ","Viandes ")</f>
        <v>0</v>
      </c>
      <c r="L45" s="105"/>
      <c r="M45" s="110" t="s">
        <v>45</v>
      </c>
      <c r="N45" s="111"/>
      <c r="O45" s="112"/>
      <c r="P45" s="37" t="e">
        <f t="shared" si="1"/>
        <v>#DIV/0!</v>
      </c>
    </row>
    <row r="46" spans="2:17">
      <c r="B46" s="86" t="s">
        <v>45</v>
      </c>
      <c r="C46" s="86"/>
      <c r="D46" s="86"/>
      <c r="E46" s="31">
        <f>GETPIVOTDATA("HVE",$B$18,"Gamme ","Viandes ")/GETPIVOTDATA("HVE",$B$18)</f>
        <v>0</v>
      </c>
      <c r="F46" s="26">
        <f>GETPIVOTDATA("HVE",$B$18,"Gamme ","Viandes ")</f>
        <v>0</v>
      </c>
      <c r="L46" s="105"/>
      <c r="M46" s="110" t="s">
        <v>31</v>
      </c>
      <c r="N46" s="111"/>
      <c r="O46" s="112"/>
      <c r="P46" s="37" t="e">
        <f t="shared" si="1"/>
        <v>#DIV/0!</v>
      </c>
    </row>
    <row r="47" spans="2:17">
      <c r="B47" s="86" t="s">
        <v>97</v>
      </c>
      <c r="C47" s="86"/>
      <c r="D47" s="86"/>
      <c r="E47" s="31">
        <f>GETPIVOTDATA("SIQO",$B$18,"Gamme ","Viandes ")/GETPIVOTDATA("SIQO",$B$18)</f>
        <v>0</v>
      </c>
      <c r="F47" s="26">
        <f>GETPIVOTDATA("SIQO",$B$18,"Gamme ","Viandes ")</f>
        <v>0</v>
      </c>
      <c r="L47" s="105"/>
      <c r="M47" s="110" t="s">
        <v>107</v>
      </c>
      <c r="N47" s="111"/>
      <c r="O47" s="112"/>
      <c r="P47" s="37" t="e">
        <f t="shared" si="1"/>
        <v>#DIV/0!</v>
      </c>
    </row>
    <row r="48" spans="2:17">
      <c r="B48" s="86" t="s">
        <v>96</v>
      </c>
      <c r="C48" s="86"/>
      <c r="D48" s="86"/>
      <c r="E48" s="31">
        <f>GETPIVOTDATA("Produit fermier ",$B$18,"Gamme ","Viandes ")/GETPIVOTDATA("Produit fermier ",$B$18)</f>
        <v>0</v>
      </c>
      <c r="F48" s="26">
        <f>GETPIVOTDATA("Produit fermier ",$B$18,"Gamme ","Viandes ")</f>
        <v>0</v>
      </c>
      <c r="L48" s="105"/>
      <c r="M48" s="104" t="s">
        <v>108</v>
      </c>
      <c r="N48" s="104"/>
      <c r="O48" s="104"/>
      <c r="P48" s="37" t="e">
        <f t="shared" si="1"/>
        <v>#DIV/0!</v>
      </c>
    </row>
    <row r="49" spans="2:16">
      <c r="B49" s="86" t="s">
        <v>95</v>
      </c>
      <c r="C49" s="86"/>
      <c r="D49" s="86"/>
      <c r="E49" s="31">
        <f>GETPIVOTDATA("Ecolabel",$B$18,"Gamme ","Viandes ")/GETPIVOTDATA("Ecolabel",$B$18)</f>
        <v>0</v>
      </c>
      <c r="F49" s="26">
        <f>GETPIVOTDATA("Ecolabel",$B$18,"Gamme ","Viandes ")</f>
        <v>0</v>
      </c>
      <c r="L49" s="105"/>
      <c r="M49" s="105" t="s">
        <v>34</v>
      </c>
      <c r="N49" s="105"/>
      <c r="O49" s="105"/>
      <c r="P49" s="37" t="e">
        <f t="shared" si="1"/>
        <v>#DIV/0!</v>
      </c>
    </row>
    <row r="50" spans="2:16">
      <c r="B50" s="86" t="s">
        <v>94</v>
      </c>
      <c r="C50" s="86"/>
      <c r="D50" s="86"/>
      <c r="E50" s="31" t="e">
        <f>GETPIVOTDATA("Autres",$B$18,"Gamme ","Viandes ")/GETPIVOTDATA("Autres",$B$18)</f>
        <v>#DIV/0!</v>
      </c>
      <c r="F50" s="26">
        <f>GETPIVOTDATA("Autres",$B$18,"Gamme ","Viandes ")</f>
        <v>0</v>
      </c>
      <c r="L50" s="113" t="s">
        <v>109</v>
      </c>
      <c r="M50" s="98" t="s">
        <v>105</v>
      </c>
      <c r="N50" s="99"/>
      <c r="O50" s="100"/>
      <c r="P50" s="39">
        <f>F43/$F$51</f>
        <v>0.17241379310344829</v>
      </c>
    </row>
    <row r="51" spans="2:16">
      <c r="B51" s="87" t="s">
        <v>79</v>
      </c>
      <c r="C51" s="87"/>
      <c r="D51" s="87"/>
      <c r="E51" s="31"/>
      <c r="F51" s="26">
        <f>SUM(F43:F50)</f>
        <v>145</v>
      </c>
      <c r="L51" s="106"/>
      <c r="M51" s="101" t="s">
        <v>106</v>
      </c>
      <c r="N51" s="102"/>
      <c r="O51" s="103"/>
      <c r="P51" s="39">
        <f t="shared" ref="P51:P57" si="2">F44/$F$51</f>
        <v>0.82758620689655171</v>
      </c>
    </row>
    <row r="52" spans="2:16">
      <c r="B52" s="93" t="s">
        <v>15</v>
      </c>
      <c r="C52" s="93"/>
      <c r="D52" s="93"/>
      <c r="E52" s="93"/>
      <c r="F52" s="93"/>
      <c r="L52" s="106"/>
      <c r="M52" s="101" t="s">
        <v>82</v>
      </c>
      <c r="N52" s="102"/>
      <c r="O52" s="103"/>
      <c r="P52" s="39">
        <f t="shared" si="2"/>
        <v>0</v>
      </c>
    </row>
    <row r="53" spans="2:16">
      <c r="B53" s="94"/>
      <c r="C53" s="94"/>
      <c r="D53" s="94"/>
      <c r="E53" s="94"/>
      <c r="F53" s="94"/>
      <c r="L53" s="106"/>
      <c r="M53" s="101" t="s">
        <v>45</v>
      </c>
      <c r="N53" s="102"/>
      <c r="O53" s="103"/>
      <c r="P53" s="39">
        <f t="shared" si="2"/>
        <v>0</v>
      </c>
    </row>
    <row r="54" spans="2:16">
      <c r="B54" s="83" t="s">
        <v>77</v>
      </c>
      <c r="C54" s="84"/>
      <c r="D54" s="85"/>
      <c r="E54" s="32" t="s">
        <v>101</v>
      </c>
      <c r="F54" s="25" t="s">
        <v>76</v>
      </c>
      <c r="L54" s="106"/>
      <c r="M54" s="101" t="s">
        <v>31</v>
      </c>
      <c r="N54" s="102"/>
      <c r="O54" s="103"/>
      <c r="P54" s="39">
        <f t="shared" si="2"/>
        <v>0</v>
      </c>
    </row>
    <row r="55" spans="2:16">
      <c r="B55" s="86" t="s">
        <v>100</v>
      </c>
      <c r="C55" s="86"/>
      <c r="D55" s="86"/>
      <c r="E55" s="31">
        <f>GETPIVOTDATA("Produits sans spécifications ",$B$18,"Gamme ","Volailles")/GETPIVOTDATA("Produits sans spécifications ",$B$18)</f>
        <v>0.53488372093023251</v>
      </c>
      <c r="F55" s="26">
        <f>GETPIVOTDATA("Produits sans spécifications ",$B$18,"Gamme ","Volailles")</f>
        <v>161</v>
      </c>
      <c r="L55" s="106"/>
      <c r="M55" s="101" t="s">
        <v>107</v>
      </c>
      <c r="N55" s="102"/>
      <c r="O55" s="103"/>
      <c r="P55" s="39">
        <f t="shared" si="2"/>
        <v>0</v>
      </c>
    </row>
    <row r="56" spans="2:16">
      <c r="B56" s="86" t="s">
        <v>99</v>
      </c>
      <c r="C56" s="86"/>
      <c r="D56" s="86"/>
      <c r="E56" s="31">
        <f>GETPIVOTDATA("BIO",$B$18,"Gamme ","Viandes ")/GETPIVOTDATA("BIO",$B$18)</f>
        <v>0.31662269129287601</v>
      </c>
      <c r="F56" s="26">
        <f>GETPIVOTDATA("BIO",$B$18,"Gamme ","Volailles")</f>
        <v>0</v>
      </c>
      <c r="L56" s="106"/>
      <c r="M56" s="88" t="s">
        <v>108</v>
      </c>
      <c r="N56" s="88"/>
      <c r="O56" s="88"/>
      <c r="P56" s="39">
        <f t="shared" si="2"/>
        <v>0</v>
      </c>
    </row>
    <row r="57" spans="2:16">
      <c r="B57" s="86" t="s">
        <v>98</v>
      </c>
      <c r="C57" s="86"/>
      <c r="D57" s="86"/>
      <c r="E57" s="31">
        <f>GETPIVOTDATA("LOCAL",$B$18,"Gamme ","Viandes ")/GETPIVOTDATA("LOCAL",$B$18)</f>
        <v>0</v>
      </c>
      <c r="F57" s="26">
        <f>GETPIVOTDATA("LOCAL",$B$18,"Gamme ","Volailles")</f>
        <v>0</v>
      </c>
      <c r="L57" s="106"/>
      <c r="M57" s="106" t="s">
        <v>34</v>
      </c>
      <c r="N57" s="106"/>
      <c r="O57" s="106"/>
      <c r="P57" s="39">
        <f t="shared" si="2"/>
        <v>0</v>
      </c>
    </row>
    <row r="58" spans="2:16">
      <c r="B58" s="86" t="s">
        <v>45</v>
      </c>
      <c r="C58" s="86"/>
      <c r="D58" s="86"/>
      <c r="E58" s="31">
        <f>GETPIVOTDATA("HVE",$B$18,"Gamme ","Viandes ")/GETPIVOTDATA("HVE",$B$18)</f>
        <v>0</v>
      </c>
      <c r="F58" s="26">
        <f>GETPIVOTDATA("HVE",$B$18,"Gamme ","Volailles")</f>
        <v>0</v>
      </c>
      <c r="L58" s="114" t="s">
        <v>15</v>
      </c>
      <c r="M58" s="107" t="s">
        <v>105</v>
      </c>
      <c r="N58" s="108"/>
      <c r="O58" s="109"/>
      <c r="P58" s="41">
        <f>F55/$F$63</f>
        <v>0.98773006134969321</v>
      </c>
    </row>
    <row r="59" spans="2:16">
      <c r="B59" s="86" t="s">
        <v>97</v>
      </c>
      <c r="C59" s="86"/>
      <c r="D59" s="86"/>
      <c r="E59" s="31">
        <f>GETPIVOTDATA("SIQO",$B$18:$B$18,"Gamme ","Viandes ")/GETPIVOTDATA("SIQO",$B$18)</f>
        <v>0</v>
      </c>
      <c r="F59" s="26">
        <f>GETPIVOTDATA("SIQO",$B$18,"Gamme ","Volailles")</f>
        <v>0</v>
      </c>
      <c r="L59" s="105"/>
      <c r="M59" s="110" t="s">
        <v>106</v>
      </c>
      <c r="N59" s="111"/>
      <c r="O59" s="112"/>
      <c r="P59" s="41">
        <f t="shared" ref="P59:P65" si="3">F56/$F$63</f>
        <v>0</v>
      </c>
    </row>
    <row r="60" spans="2:16">
      <c r="B60" s="86" t="s">
        <v>96</v>
      </c>
      <c r="C60" s="86"/>
      <c r="D60" s="86"/>
      <c r="E60" s="31">
        <f>GETPIVOTDATA("Produit fermier ",$B$18,"Gamme ","Viandes ")/GETPIVOTDATA("Produit fermier ",$B$18)</f>
        <v>0</v>
      </c>
      <c r="F60" s="26">
        <f>GETPIVOTDATA("Produit fermier ",$B$18,"Gamme ","Volailles")</f>
        <v>2</v>
      </c>
      <c r="L60" s="105"/>
      <c r="M60" s="110" t="s">
        <v>82</v>
      </c>
      <c r="N60" s="111"/>
      <c r="O60" s="112"/>
      <c r="P60" s="41">
        <f t="shared" si="3"/>
        <v>0</v>
      </c>
    </row>
    <row r="61" spans="2:16">
      <c r="B61" s="86" t="s">
        <v>95</v>
      </c>
      <c r="C61" s="86"/>
      <c r="D61" s="86"/>
      <c r="E61" s="31">
        <f>GETPIVOTDATA("Ecolabel",$B$18,"Gamme ","Viandes ")/GETPIVOTDATA("Ecolabel",$B$18)</f>
        <v>0</v>
      </c>
      <c r="F61" s="26">
        <f>GETPIVOTDATA("Ecolabel",$B$18,"Gamme ","Volailles")</f>
        <v>0</v>
      </c>
      <c r="L61" s="105"/>
      <c r="M61" s="110" t="s">
        <v>45</v>
      </c>
      <c r="N61" s="111"/>
      <c r="O61" s="112"/>
      <c r="P61" s="41">
        <f t="shared" si="3"/>
        <v>0</v>
      </c>
    </row>
    <row r="62" spans="2:16">
      <c r="B62" s="86" t="s">
        <v>94</v>
      </c>
      <c r="C62" s="86"/>
      <c r="D62" s="86"/>
      <c r="E62" s="31" t="e">
        <f>GETPIVOTDATA("Autres",$B$18,"Gamme ","Viandes ")/GETPIVOTDATA("Autres",$B$18)</f>
        <v>#DIV/0!</v>
      </c>
      <c r="F62" s="26">
        <f>GETPIVOTDATA("Autres",$B$18,"Gamme ","Volailles")</f>
        <v>0</v>
      </c>
      <c r="L62" s="105"/>
      <c r="M62" s="110" t="s">
        <v>31</v>
      </c>
      <c r="N62" s="111"/>
      <c r="O62" s="112"/>
      <c r="P62" s="41">
        <f t="shared" si="3"/>
        <v>0</v>
      </c>
    </row>
    <row r="63" spans="2:16">
      <c r="B63" s="87" t="s">
        <v>79</v>
      </c>
      <c r="C63" s="87"/>
      <c r="D63" s="87"/>
      <c r="E63" s="31"/>
      <c r="F63" s="26">
        <f>SUM(F55:F62)</f>
        <v>163</v>
      </c>
      <c r="L63" s="105"/>
      <c r="M63" s="110" t="s">
        <v>107</v>
      </c>
      <c r="N63" s="111"/>
      <c r="O63" s="112"/>
      <c r="P63" s="41">
        <f t="shared" si="3"/>
        <v>1.2269938650306749E-2</v>
      </c>
    </row>
    <row r="64" spans="2:16">
      <c r="B64" s="89" t="s">
        <v>17</v>
      </c>
      <c r="C64" s="89"/>
      <c r="D64" s="89"/>
      <c r="E64" s="89"/>
      <c r="F64" s="89"/>
      <c r="L64" s="105"/>
      <c r="M64" s="104" t="s">
        <v>108</v>
      </c>
      <c r="N64" s="104"/>
      <c r="O64" s="104"/>
      <c r="P64" s="41">
        <f t="shared" si="3"/>
        <v>0</v>
      </c>
    </row>
    <row r="65" spans="2:17">
      <c r="B65" s="90"/>
      <c r="C65" s="90"/>
      <c r="D65" s="90"/>
      <c r="E65" s="90"/>
      <c r="F65" s="90"/>
      <c r="L65" s="105"/>
      <c r="M65" s="105" t="s">
        <v>34</v>
      </c>
      <c r="N65" s="105"/>
      <c r="O65" s="105"/>
      <c r="P65" s="41">
        <f t="shared" si="3"/>
        <v>0</v>
      </c>
    </row>
    <row r="66" spans="2:17">
      <c r="B66" s="83" t="s">
        <v>77</v>
      </c>
      <c r="C66" s="84"/>
      <c r="D66" s="85"/>
      <c r="E66" s="32" t="s">
        <v>101</v>
      </c>
      <c r="F66" s="25" t="s">
        <v>76</v>
      </c>
      <c r="L66" s="113" t="s">
        <v>17</v>
      </c>
      <c r="M66" s="98" t="s">
        <v>105</v>
      </c>
      <c r="N66" s="99"/>
      <c r="O66" s="100"/>
      <c r="P66" s="39">
        <f>F67/$F$75</f>
        <v>0</v>
      </c>
    </row>
    <row r="67" spans="2:17">
      <c r="B67" s="86" t="s">
        <v>100</v>
      </c>
      <c r="C67" s="86"/>
      <c r="D67" s="86"/>
      <c r="E67" s="31">
        <f>GETPIVOTDATA("Produits sans spécifications ",$B$18,"Gamme ","Légumes")/GETPIVOTDATA("Produits sans spécifications ",$B$18)</f>
        <v>0</v>
      </c>
      <c r="F67" s="26">
        <f>GETPIVOTDATA("Produits sans spécifications ",$B$18,"Gamme ","Légumes")</f>
        <v>0</v>
      </c>
      <c r="L67" s="106"/>
      <c r="M67" s="101" t="s">
        <v>106</v>
      </c>
      <c r="N67" s="102"/>
      <c r="O67" s="103"/>
      <c r="P67" s="39">
        <f t="shared" ref="P67:P73" si="4">F68/$F$75</f>
        <v>0.47222222222222221</v>
      </c>
    </row>
    <row r="68" spans="2:17">
      <c r="B68" s="86" t="s">
        <v>99</v>
      </c>
      <c r="C68" s="86"/>
      <c r="D68" s="86"/>
      <c r="E68" s="31">
        <f>GETPIVOTDATA("BIO",$B$18,"Gamme ","Légumes")/GETPIVOTDATA("BIO",$B$18)</f>
        <v>0.26912928759894461</v>
      </c>
      <c r="F68" s="26">
        <f>GETPIVOTDATA("BIO",$B$18,"Gamme ","Légumes")</f>
        <v>102</v>
      </c>
      <c r="L68" s="106"/>
      <c r="M68" s="101" t="s">
        <v>82</v>
      </c>
      <c r="N68" s="102"/>
      <c r="O68" s="103"/>
      <c r="P68" s="39">
        <f t="shared" si="4"/>
        <v>0.2638888888888889</v>
      </c>
    </row>
    <row r="69" spans="2:17">
      <c r="B69" s="86" t="s">
        <v>98</v>
      </c>
      <c r="C69" s="86"/>
      <c r="D69" s="86"/>
      <c r="E69" s="31">
        <f>GETPIVOTDATA("LOCAL",$B$18,"Gamme ","Légumes")/GETPIVOTDATA("LOCAL",$B$18)</f>
        <v>0.3904109589041096</v>
      </c>
      <c r="F69" s="26">
        <f>GETPIVOTDATA("LOCAL",$B$18,"Gamme ","Légumes")</f>
        <v>57</v>
      </c>
      <c r="K69" s="36"/>
      <c r="L69" s="106"/>
      <c r="M69" s="101" t="s">
        <v>45</v>
      </c>
      <c r="N69" s="102"/>
      <c r="O69" s="103"/>
      <c r="P69" s="39">
        <f t="shared" si="4"/>
        <v>0.16203703703703703</v>
      </c>
      <c r="Q69" s="36"/>
    </row>
    <row r="70" spans="2:17">
      <c r="B70" s="86" t="s">
        <v>45</v>
      </c>
      <c r="C70" s="86"/>
      <c r="D70" s="86"/>
      <c r="E70" s="31">
        <f>GETPIVOTDATA("HVE",$B$18,"Gamme ","Légumes")/GETPIVOTDATA("HVE",$B$18)</f>
        <v>0.59322033898305082</v>
      </c>
      <c r="F70" s="26">
        <f>GETPIVOTDATA("HVE",$B$18,"Gamme ","Légumes")</f>
        <v>35</v>
      </c>
      <c r="K70" s="36"/>
      <c r="L70" s="106"/>
      <c r="M70" s="101" t="s">
        <v>31</v>
      </c>
      <c r="N70" s="102"/>
      <c r="O70" s="103"/>
      <c r="P70" s="39">
        <f t="shared" si="4"/>
        <v>0.10185185185185185</v>
      </c>
      <c r="Q70" s="36"/>
    </row>
    <row r="71" spans="2:17">
      <c r="B71" s="86" t="s">
        <v>97</v>
      </c>
      <c r="C71" s="86"/>
      <c r="D71" s="86"/>
      <c r="E71" s="31">
        <f>GETPIVOTDATA("SIQO",$B$18,"Gamme ","Légumes")/GETPIVOTDATA("SIQO",$B$18)</f>
        <v>0.5</v>
      </c>
      <c r="F71" s="26">
        <f>GETPIVOTDATA("SIQO",$B$18,"Gamme ","Légumes")</f>
        <v>22</v>
      </c>
      <c r="K71" s="36"/>
      <c r="L71" s="106"/>
      <c r="M71" s="101" t="s">
        <v>107</v>
      </c>
      <c r="N71" s="102"/>
      <c r="O71" s="103"/>
      <c r="P71" s="39">
        <f t="shared" si="4"/>
        <v>0</v>
      </c>
      <c r="Q71" s="36"/>
    </row>
    <row r="72" spans="2:17">
      <c r="B72" s="86" t="s">
        <v>96</v>
      </c>
      <c r="C72" s="86"/>
      <c r="D72" s="86"/>
      <c r="E72" s="31">
        <f>GETPIVOTDATA("Produit fermier ",$B$18,"Gamme ","Légumes")/GETPIVOTDATA("Produit fermier ",$B$18)</f>
        <v>0</v>
      </c>
      <c r="F72" s="26">
        <f>GETPIVOTDATA("Produit fermier ",$B$18,"Gamme ","Légumes")</f>
        <v>0</v>
      </c>
      <c r="K72" s="36"/>
      <c r="L72" s="106"/>
      <c r="M72" s="88" t="s">
        <v>108</v>
      </c>
      <c r="N72" s="88"/>
      <c r="O72" s="88"/>
      <c r="P72" s="39">
        <f t="shared" si="4"/>
        <v>0</v>
      </c>
      <c r="Q72" s="36"/>
    </row>
    <row r="73" spans="2:17">
      <c r="B73" s="86" t="s">
        <v>95</v>
      </c>
      <c r="C73" s="86"/>
      <c r="D73" s="86"/>
      <c r="E73" s="31">
        <f>GETPIVOTDATA("Ecolabel",$B$18,"Gamme ","Légumes")/GETPIVOTDATA("Ecolabel",$B$18)</f>
        <v>0</v>
      </c>
      <c r="F73" s="26">
        <f>GETPIVOTDATA("Ecolabel",$B$18,"Gamme ","Légumes")</f>
        <v>0</v>
      </c>
      <c r="K73" s="36"/>
      <c r="L73" s="106"/>
      <c r="M73" s="106" t="s">
        <v>34</v>
      </c>
      <c r="N73" s="106"/>
      <c r="O73" s="106"/>
      <c r="P73" s="39">
        <f t="shared" si="4"/>
        <v>0</v>
      </c>
      <c r="Q73" s="36"/>
    </row>
    <row r="74" spans="2:17">
      <c r="B74" s="86" t="s">
        <v>94</v>
      </c>
      <c r="C74" s="86"/>
      <c r="D74" s="86"/>
      <c r="E74" s="31" t="e">
        <f>GETPIVOTDATA("Autres",$B$18,"Gamme ","Légumes")/GETPIVOTDATA("Autres",$B$18)</f>
        <v>#DIV/0!</v>
      </c>
      <c r="F74" s="26">
        <f>GETPIVOTDATA("Autres",$B$18,"Gamme ","Légumes")</f>
        <v>0</v>
      </c>
      <c r="K74" s="36"/>
      <c r="L74" s="114" t="s">
        <v>19</v>
      </c>
      <c r="M74" s="107" t="s">
        <v>105</v>
      </c>
      <c r="N74" s="108"/>
      <c r="O74" s="109"/>
      <c r="P74" s="37" t="e">
        <f>F79/$F$87</f>
        <v>#DIV/0!</v>
      </c>
      <c r="Q74" s="36"/>
    </row>
    <row r="75" spans="2:17">
      <c r="B75" s="87" t="s">
        <v>79</v>
      </c>
      <c r="C75" s="87"/>
      <c r="D75" s="87"/>
      <c r="E75" s="31"/>
      <c r="F75" s="26">
        <f>SUM(F67:F74)</f>
        <v>216</v>
      </c>
      <c r="K75" s="36"/>
      <c r="L75" s="105"/>
      <c r="M75" s="110" t="s">
        <v>106</v>
      </c>
      <c r="N75" s="111"/>
      <c r="O75" s="112"/>
      <c r="P75" s="37" t="e">
        <f t="shared" ref="P75:P81" si="5">F80/$F$87</f>
        <v>#DIV/0!</v>
      </c>
      <c r="Q75" s="36"/>
    </row>
    <row r="76" spans="2:17">
      <c r="B76" s="89" t="s">
        <v>19</v>
      </c>
      <c r="C76" s="89"/>
      <c r="D76" s="89"/>
      <c r="E76" s="89"/>
      <c r="F76" s="89"/>
      <c r="K76" s="36"/>
      <c r="L76" s="105"/>
      <c r="M76" s="110" t="s">
        <v>82</v>
      </c>
      <c r="N76" s="111"/>
      <c r="O76" s="112"/>
      <c r="P76" s="37" t="e">
        <f t="shared" si="5"/>
        <v>#DIV/0!</v>
      </c>
      <c r="Q76" s="36"/>
    </row>
    <row r="77" spans="2:17">
      <c r="B77" s="90"/>
      <c r="C77" s="90"/>
      <c r="D77" s="90"/>
      <c r="E77" s="90"/>
      <c r="F77" s="90"/>
      <c r="K77" s="36"/>
      <c r="L77" s="105"/>
      <c r="M77" s="110" t="s">
        <v>45</v>
      </c>
      <c r="N77" s="111"/>
      <c r="O77" s="112"/>
      <c r="P77" s="37" t="e">
        <f t="shared" si="5"/>
        <v>#DIV/0!</v>
      </c>
      <c r="Q77" s="36"/>
    </row>
    <row r="78" spans="2:17">
      <c r="B78" s="83" t="s">
        <v>77</v>
      </c>
      <c r="C78" s="84"/>
      <c r="D78" s="85"/>
      <c r="E78" s="32" t="s">
        <v>101</v>
      </c>
      <c r="F78" s="25" t="s">
        <v>76</v>
      </c>
      <c r="K78" s="36"/>
      <c r="L78" s="105"/>
      <c r="M78" s="110" t="s">
        <v>31</v>
      </c>
      <c r="N78" s="111"/>
      <c r="O78" s="112"/>
      <c r="P78" s="37" t="e">
        <f t="shared" si="5"/>
        <v>#DIV/0!</v>
      </c>
      <c r="Q78" s="36"/>
    </row>
    <row r="79" spans="2:17">
      <c r="B79" s="86" t="s">
        <v>100</v>
      </c>
      <c r="C79" s="86"/>
      <c r="D79" s="86"/>
      <c r="E79" s="31">
        <f>GETPIVOTDATA("Produits sans spécifications ",$B$18,"Gamme ","Epicerie")/GETPIVOTDATA("Produits sans spécifications ",$B$18)</f>
        <v>0</v>
      </c>
      <c r="F79" s="26">
        <f>GETPIVOTDATA("Produits sans spécifications ",$B$18,"Gamme ","Epicerie")</f>
        <v>0</v>
      </c>
      <c r="K79" s="36"/>
      <c r="L79" s="105"/>
      <c r="M79" s="110" t="s">
        <v>107</v>
      </c>
      <c r="N79" s="111"/>
      <c r="O79" s="112"/>
      <c r="P79" s="37" t="e">
        <f t="shared" si="5"/>
        <v>#DIV/0!</v>
      </c>
      <c r="Q79" s="36"/>
    </row>
    <row r="80" spans="2:17">
      <c r="B80" s="86" t="s">
        <v>99</v>
      </c>
      <c r="C80" s="86"/>
      <c r="D80" s="86"/>
      <c r="E80" s="31">
        <f>GETPIVOTDATA("BIO",$B$18,"Gamme ","Epicerie")/GETPIVOTDATA("BIO",$B$18)</f>
        <v>0</v>
      </c>
      <c r="F80" s="26">
        <f>GETPIVOTDATA("BIO",$B$18,"Gamme ","Epicerie")</f>
        <v>0</v>
      </c>
      <c r="K80" s="36"/>
      <c r="L80" s="105"/>
      <c r="M80" s="104" t="s">
        <v>108</v>
      </c>
      <c r="N80" s="104"/>
      <c r="O80" s="104"/>
      <c r="P80" s="37" t="e">
        <f t="shared" si="5"/>
        <v>#DIV/0!</v>
      </c>
      <c r="Q80" s="36"/>
    </row>
    <row r="81" spans="2:17">
      <c r="B81" s="86" t="s">
        <v>98</v>
      </c>
      <c r="C81" s="86"/>
      <c r="D81" s="86"/>
      <c r="E81" s="31">
        <f>GETPIVOTDATA("LOCAL",$B$18,"Gamme ","Epicerie")/GETPIVOTDATA("LOCAL",$B$18)</f>
        <v>0</v>
      </c>
      <c r="F81" s="26">
        <f>GETPIVOTDATA("LOCAL",$B$18,"Gamme ","Epicerie")</f>
        <v>0</v>
      </c>
      <c r="K81" s="36"/>
      <c r="L81" s="105"/>
      <c r="M81" s="105" t="s">
        <v>34</v>
      </c>
      <c r="N81" s="105"/>
      <c r="O81" s="105"/>
      <c r="P81" s="37" t="e">
        <f t="shared" si="5"/>
        <v>#DIV/0!</v>
      </c>
      <c r="Q81" s="36"/>
    </row>
    <row r="82" spans="2:17">
      <c r="B82" s="86" t="s">
        <v>45</v>
      </c>
      <c r="C82" s="86"/>
      <c r="D82" s="86"/>
      <c r="E82" s="31">
        <f>GETPIVOTDATA("HVE",$B$18,"Gamme ","Epicerie")/GETPIVOTDATA("HVE",$B$18)</f>
        <v>0</v>
      </c>
      <c r="F82" s="26">
        <f>GETPIVOTDATA("HVE",$B$18,"Gamme ","Epicerie")</f>
        <v>0</v>
      </c>
      <c r="K82" s="36"/>
      <c r="L82" s="113" t="s">
        <v>18</v>
      </c>
      <c r="M82" s="98" t="s">
        <v>105</v>
      </c>
      <c r="N82" s="99"/>
      <c r="O82" s="100"/>
      <c r="P82" s="39">
        <f>F91/$F$99</f>
        <v>0</v>
      </c>
      <c r="Q82" s="36"/>
    </row>
    <row r="83" spans="2:17">
      <c r="B83" s="86" t="s">
        <v>97</v>
      </c>
      <c r="C83" s="86"/>
      <c r="D83" s="86"/>
      <c r="E83" s="31">
        <f>GETPIVOTDATA("SIQO",$B$18,"Gamme ","Epicerie")/GETPIVOTDATA("SIQO",$B$18)</f>
        <v>0</v>
      </c>
      <c r="F83" s="26">
        <f>GETPIVOTDATA("SIQO",$B$18,"Gamme ","Epicerie")</f>
        <v>0</v>
      </c>
      <c r="K83" s="36"/>
      <c r="L83" s="106"/>
      <c r="M83" s="101" t="s">
        <v>106</v>
      </c>
      <c r="N83" s="102"/>
      <c r="O83" s="103"/>
      <c r="P83" s="39">
        <f t="shared" ref="P83:P89" si="6">F92/$F$99</f>
        <v>0</v>
      </c>
      <c r="Q83" s="36"/>
    </row>
    <row r="84" spans="2:17">
      <c r="B84" s="86" t="s">
        <v>96</v>
      </c>
      <c r="C84" s="86"/>
      <c r="D84" s="86"/>
      <c r="E84" s="31">
        <f>GETPIVOTDATA("Produit fermier ",$B$18,"Gamme ","Epicerie")/GETPIVOTDATA("Produit fermier ",$B$18)</f>
        <v>0</v>
      </c>
      <c r="F84" s="26">
        <f>GETPIVOTDATA("Produit fermier ",$B$18,"Gamme ","Epicerie")</f>
        <v>0</v>
      </c>
      <c r="L84" s="106"/>
      <c r="M84" s="101" t="s">
        <v>82</v>
      </c>
      <c r="N84" s="102"/>
      <c r="O84" s="103"/>
      <c r="P84" s="39">
        <f t="shared" si="6"/>
        <v>0</v>
      </c>
    </row>
    <row r="85" spans="2:17">
      <c r="B85" s="86" t="s">
        <v>95</v>
      </c>
      <c r="C85" s="86"/>
      <c r="D85" s="86"/>
      <c r="E85" s="31">
        <f>GETPIVOTDATA("Ecolabel",$B$18,"Gamme ","Epicerie")/GETPIVOTDATA("Ecolabel",$B$18)</f>
        <v>0</v>
      </c>
      <c r="F85" s="26">
        <f>GETPIVOTDATA("Ecolabel",$B$18,"Gamme ","Epicerie")</f>
        <v>0</v>
      </c>
      <c r="L85" s="106"/>
      <c r="M85" s="101" t="s">
        <v>45</v>
      </c>
      <c r="N85" s="102"/>
      <c r="O85" s="103"/>
      <c r="P85" s="39">
        <f t="shared" si="6"/>
        <v>0</v>
      </c>
    </row>
    <row r="86" spans="2:17">
      <c r="B86" s="86" t="s">
        <v>94</v>
      </c>
      <c r="C86" s="86"/>
      <c r="D86" s="86"/>
      <c r="E86" s="31" t="e">
        <f>GETPIVOTDATA("Autres",$B$18,"Gamme ","Epicerie")/GETPIVOTDATA("Autres",$B$18)</f>
        <v>#DIV/0!</v>
      </c>
      <c r="F86" s="26">
        <f>GETPIVOTDATA("Autres",$B$18,"Gamme ","Epicerie")</f>
        <v>0</v>
      </c>
      <c r="L86" s="106"/>
      <c r="M86" s="101" t="s">
        <v>31</v>
      </c>
      <c r="N86" s="102"/>
      <c r="O86" s="103"/>
      <c r="P86" s="39">
        <f t="shared" si="6"/>
        <v>0</v>
      </c>
    </row>
    <row r="87" spans="2:17">
      <c r="B87" s="87" t="s">
        <v>79</v>
      </c>
      <c r="C87" s="87"/>
      <c r="D87" s="87"/>
      <c r="E87" s="31"/>
      <c r="F87" s="26">
        <f>SUM(F79:F86)</f>
        <v>0</v>
      </c>
      <c r="L87" s="106"/>
      <c r="M87" s="101" t="s">
        <v>107</v>
      </c>
      <c r="N87" s="102"/>
      <c r="O87" s="103"/>
      <c r="P87" s="39">
        <f t="shared" si="6"/>
        <v>0</v>
      </c>
    </row>
    <row r="88" spans="2:17">
      <c r="B88" s="89" t="s">
        <v>18</v>
      </c>
      <c r="C88" s="89"/>
      <c r="D88" s="89"/>
      <c r="E88" s="89"/>
      <c r="F88" s="89"/>
      <c r="L88" s="106"/>
      <c r="M88" s="88" t="s">
        <v>108</v>
      </c>
      <c r="N88" s="88"/>
      <c r="O88" s="88"/>
      <c r="P88" s="39">
        <f t="shared" si="6"/>
        <v>1</v>
      </c>
    </row>
    <row r="89" spans="2:17">
      <c r="B89" s="90"/>
      <c r="C89" s="90"/>
      <c r="D89" s="90"/>
      <c r="E89" s="90"/>
      <c r="F89" s="90"/>
      <c r="L89" s="106"/>
      <c r="M89" s="106" t="s">
        <v>34</v>
      </c>
      <c r="N89" s="106"/>
      <c r="O89" s="106"/>
      <c r="P89" s="39">
        <f t="shared" si="6"/>
        <v>0</v>
      </c>
    </row>
    <row r="90" spans="2:17">
      <c r="B90" s="83" t="s">
        <v>77</v>
      </c>
      <c r="C90" s="84"/>
      <c r="D90" s="85"/>
      <c r="E90" s="32" t="s">
        <v>101</v>
      </c>
      <c r="F90" s="25" t="s">
        <v>76</v>
      </c>
    </row>
    <row r="91" spans="2:17">
      <c r="B91" s="86" t="s">
        <v>100</v>
      </c>
      <c r="C91" s="86"/>
      <c r="D91" s="86"/>
      <c r="E91" s="31">
        <f>GETPIVOTDATA("Produits sans spécifications ",$B$18,"Gamme ","Poissons")/GETPIVOTDATA("Produits sans spécifications ",$B$18)</f>
        <v>0</v>
      </c>
      <c r="F91" s="26">
        <f>GETPIVOTDATA("Produits sans spécifications ",$B$18,"Gamme ","Poissons")</f>
        <v>0</v>
      </c>
    </row>
    <row r="92" spans="2:17">
      <c r="B92" s="86" t="s">
        <v>99</v>
      </c>
      <c r="C92" s="86"/>
      <c r="D92" s="86"/>
      <c r="E92" s="31">
        <f>GETPIVOTDATA("BIO",$B$18,"Gamme ","Poissons")/GETPIVOTDATA("BIO",$B$18)</f>
        <v>0</v>
      </c>
      <c r="F92" s="26">
        <f>GETPIVOTDATA("BIO",$B$18,"Gamme ","Poissons")</f>
        <v>0</v>
      </c>
    </row>
    <row r="93" spans="2:17">
      <c r="B93" s="86" t="s">
        <v>98</v>
      </c>
      <c r="C93" s="86"/>
      <c r="D93" s="86"/>
      <c r="E93" s="31">
        <f>GETPIVOTDATA("LOCAL",$B$18,"Gamme ","Poissons")/GETPIVOTDATA("LOCAL",$B$18)</f>
        <v>0</v>
      </c>
      <c r="F93" s="26">
        <f>GETPIVOTDATA("LOCAL",$B$18,"Gamme ","Poissons")</f>
        <v>0</v>
      </c>
    </row>
    <row r="94" spans="2:17">
      <c r="B94" s="86" t="s">
        <v>45</v>
      </c>
      <c r="C94" s="86"/>
      <c r="D94" s="86"/>
      <c r="E94" s="31">
        <f>GETPIVOTDATA("HVE",$B$18,"Gamme ","Poissons")/GETPIVOTDATA("HVE",$B$18)</f>
        <v>0</v>
      </c>
      <c r="F94" s="26">
        <f>GETPIVOTDATA("HVE",$B$18,"Gamme ","Poissons")</f>
        <v>0</v>
      </c>
    </row>
    <row r="95" spans="2:17">
      <c r="B95" s="86" t="s">
        <v>97</v>
      </c>
      <c r="C95" s="86"/>
      <c r="D95" s="86"/>
      <c r="E95" s="31">
        <f>GETPIVOTDATA("SIQO",$B$18,"Gamme ","Poissons")/GETPIVOTDATA("SIQO",$B$18)</f>
        <v>0</v>
      </c>
      <c r="F95" s="26">
        <f>GETPIVOTDATA("SIQO",$B$18,"Gamme ","Poissons")</f>
        <v>0</v>
      </c>
    </row>
    <row r="96" spans="2:17">
      <c r="B96" s="86" t="s">
        <v>96</v>
      </c>
      <c r="C96" s="86"/>
      <c r="D96" s="86"/>
      <c r="E96" s="31">
        <f>GETPIVOTDATA("Produit fermier ",$B$18,"Gamme ","Poissons")/GETPIVOTDATA("Produit fermier ",$B$18)</f>
        <v>0</v>
      </c>
      <c r="F96" s="26">
        <f>GETPIVOTDATA("Produit fermier ",$B$18,"Gamme ","Poissons")</f>
        <v>0</v>
      </c>
    </row>
    <row r="97" spans="2:6">
      <c r="B97" s="86" t="s">
        <v>95</v>
      </c>
      <c r="C97" s="86"/>
      <c r="D97" s="86"/>
      <c r="E97" s="31">
        <f>GETPIVOTDATA("Ecolabel",$B$18,"Gamme ","Poissons")/GETPIVOTDATA("Ecolabel",$B$18)</f>
        <v>1</v>
      </c>
      <c r="F97" s="26">
        <f>GETPIVOTDATA("Ecolabel",$B$18,"Gamme ","Poissons")</f>
        <v>78</v>
      </c>
    </row>
    <row r="98" spans="2:6">
      <c r="B98" s="86" t="s">
        <v>94</v>
      </c>
      <c r="C98" s="86"/>
      <c r="D98" s="86"/>
      <c r="E98" s="31" t="e">
        <f>GETPIVOTDATA("Autres",$B$18,"Gamme ","Poissons")/GETPIVOTDATA("Autres",$B$18)</f>
        <v>#DIV/0!</v>
      </c>
      <c r="F98" s="26">
        <f>GETPIVOTDATA("Autres",$B$18,"Gamme ","Poissons")</f>
        <v>0</v>
      </c>
    </row>
    <row r="99" spans="2:6">
      <c r="B99" s="87" t="s">
        <v>79</v>
      </c>
      <c r="C99" s="87"/>
      <c r="D99" s="87"/>
      <c r="E99" s="31"/>
      <c r="F99" s="26">
        <f>SUM(F91:F98)</f>
        <v>78</v>
      </c>
    </row>
  </sheetData>
  <mergeCells count="143">
    <mergeCell ref="L74:L81"/>
    <mergeCell ref="L82:L89"/>
    <mergeCell ref="M82:O82"/>
    <mergeCell ref="M83:O83"/>
    <mergeCell ref="M84:O84"/>
    <mergeCell ref="M85:O85"/>
    <mergeCell ref="M86:O86"/>
    <mergeCell ref="M87:O87"/>
    <mergeCell ref="M88:O88"/>
    <mergeCell ref="M89:O89"/>
    <mergeCell ref="M74:O74"/>
    <mergeCell ref="M75:O75"/>
    <mergeCell ref="M76:O76"/>
    <mergeCell ref="M77:O77"/>
    <mergeCell ref="M78:O78"/>
    <mergeCell ref="M79:O79"/>
    <mergeCell ref="M80:O80"/>
    <mergeCell ref="M81:O81"/>
    <mergeCell ref="L50:L57"/>
    <mergeCell ref="L58:L65"/>
    <mergeCell ref="M69:O69"/>
    <mergeCell ref="M70:O70"/>
    <mergeCell ref="M71:O71"/>
    <mergeCell ref="M72:O72"/>
    <mergeCell ref="M73:O73"/>
    <mergeCell ref="M62:O62"/>
    <mergeCell ref="M63:O63"/>
    <mergeCell ref="M64:O64"/>
    <mergeCell ref="M65:O65"/>
    <mergeCell ref="M66:O66"/>
    <mergeCell ref="M67:O67"/>
    <mergeCell ref="M68:O68"/>
    <mergeCell ref="L66:L73"/>
    <mergeCell ref="M55:O55"/>
    <mergeCell ref="M56:O56"/>
    <mergeCell ref="M57:O57"/>
    <mergeCell ref="M58:O58"/>
    <mergeCell ref="M59:O59"/>
    <mergeCell ref="M60:O60"/>
    <mergeCell ref="M61:O61"/>
    <mergeCell ref="M49:O49"/>
    <mergeCell ref="M50:O50"/>
    <mergeCell ref="M51:O51"/>
    <mergeCell ref="M52:O52"/>
    <mergeCell ref="M53:O53"/>
    <mergeCell ref="M54:O54"/>
    <mergeCell ref="M41:O41"/>
    <mergeCell ref="M42:O42"/>
    <mergeCell ref="M43:O43"/>
    <mergeCell ref="M44:O44"/>
    <mergeCell ref="M45:O45"/>
    <mergeCell ref="M46:O46"/>
    <mergeCell ref="M47:O47"/>
    <mergeCell ref="Q31:Q32"/>
    <mergeCell ref="L33:O33"/>
    <mergeCell ref="M34:O34"/>
    <mergeCell ref="M35:O35"/>
    <mergeCell ref="M36:O36"/>
    <mergeCell ref="M37:O37"/>
    <mergeCell ref="M38:O38"/>
    <mergeCell ref="M39:O39"/>
    <mergeCell ref="M48:O48"/>
    <mergeCell ref="L34:L41"/>
    <mergeCell ref="L42:L49"/>
    <mergeCell ref="M40:O40"/>
    <mergeCell ref="B88:F89"/>
    <mergeCell ref="B5:F6"/>
    <mergeCell ref="B40:F41"/>
    <mergeCell ref="B52:F53"/>
    <mergeCell ref="B64:F65"/>
    <mergeCell ref="B76:F77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66:D66"/>
    <mergeCell ref="B95:D95"/>
    <mergeCell ref="B96:D96"/>
    <mergeCell ref="B97:D97"/>
    <mergeCell ref="B98:D98"/>
    <mergeCell ref="B99:D99"/>
    <mergeCell ref="B90:D90"/>
    <mergeCell ref="B91:D91"/>
    <mergeCell ref="B92:D92"/>
    <mergeCell ref="B93:D93"/>
    <mergeCell ref="B94:D94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44:D44"/>
    <mergeCell ref="B45:D45"/>
    <mergeCell ref="B46:D46"/>
    <mergeCell ref="B35:D35"/>
    <mergeCell ref="B36:D36"/>
    <mergeCell ref="B37:D37"/>
    <mergeCell ref="B38:D38"/>
    <mergeCell ref="B39:D39"/>
    <mergeCell ref="B54:D54"/>
    <mergeCell ref="B34:D34"/>
    <mergeCell ref="B16:D16"/>
    <mergeCell ref="B8:D8"/>
    <mergeCell ref="B9:D9"/>
    <mergeCell ref="B10:D10"/>
    <mergeCell ref="B11:D11"/>
    <mergeCell ref="B12:D12"/>
    <mergeCell ref="B42:D42"/>
    <mergeCell ref="B43:D43"/>
    <mergeCell ref="H8:M12"/>
    <mergeCell ref="B7:D7"/>
    <mergeCell ref="B13:D13"/>
    <mergeCell ref="B14:D14"/>
    <mergeCell ref="B15:D15"/>
    <mergeCell ref="B30:D30"/>
    <mergeCell ref="B31:D31"/>
    <mergeCell ref="B32:D32"/>
    <mergeCell ref="B33:D33"/>
    <mergeCell ref="M31:P32"/>
  </mergeCell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B7A0-EAB8-4B15-9229-3C0E6E2487BD}">
  <dimension ref="B1:AD73"/>
  <sheetViews>
    <sheetView showGridLines="0" tabSelected="1" workbookViewId="0">
      <selection activeCell="O59" sqref="O59"/>
    </sheetView>
  </sheetViews>
  <sheetFormatPr baseColWidth="10" defaultRowHeight="16.05" customHeight="1"/>
  <cols>
    <col min="1" max="1" width="5.77734375" customWidth="1"/>
    <col min="2" max="2" width="17.44140625" bestFit="1" customWidth="1"/>
    <col min="3" max="8" width="9.77734375" style="117" customWidth="1"/>
    <col min="9" max="9" width="11.21875" style="117" customWidth="1"/>
    <col min="10" max="10" width="9.77734375" style="117" customWidth="1"/>
    <col min="11" max="11" width="11.88671875" style="117" bestFit="1" customWidth="1"/>
    <col min="12" max="12" width="20.77734375" style="117" customWidth="1"/>
    <col min="13" max="13" width="9.77734375" style="117" customWidth="1"/>
    <col min="14" max="14" width="9.77734375" style="123" customWidth="1"/>
    <col min="15" max="15" width="9.77734375" style="117" customWidth="1"/>
    <col min="16" max="16" width="9.77734375" style="123" customWidth="1"/>
    <col min="17" max="17" width="9.77734375" style="117" customWidth="1"/>
    <col min="18" max="18" width="9.77734375" style="123" customWidth="1"/>
    <col min="19" max="19" width="9.77734375" style="117" customWidth="1"/>
    <col min="20" max="20" width="9.77734375" style="123" customWidth="1"/>
    <col min="21" max="21" width="9.77734375" style="117" customWidth="1"/>
    <col min="22" max="22" width="9.77734375" style="123" customWidth="1"/>
    <col min="23" max="23" width="9.77734375" style="117" customWidth="1"/>
    <col min="24" max="24" width="9.77734375" style="123" customWidth="1"/>
    <col min="25" max="25" width="9.77734375" style="117" customWidth="1"/>
    <col min="26" max="26" width="9.77734375" style="123" customWidth="1"/>
    <col min="27" max="27" width="9.77734375" style="117" customWidth="1"/>
    <col min="28" max="28" width="9.77734375" style="123" customWidth="1"/>
    <col min="29" max="29" width="9.77734375" style="117" customWidth="1"/>
    <col min="30" max="30" width="9.77734375" style="123" customWidth="1"/>
    <col min="31" max="57" width="9.77734375" customWidth="1"/>
  </cols>
  <sheetData>
    <row r="1" spans="2:30" ht="16.05" customHeight="1">
      <c r="K1"/>
      <c r="L1"/>
    </row>
    <row r="2" spans="2:30" ht="16.05" customHeight="1">
      <c r="K2"/>
      <c r="L2"/>
    </row>
    <row r="3" spans="2:30" ht="16.05" customHeight="1">
      <c r="K3"/>
      <c r="L3"/>
    </row>
    <row r="4" spans="2:30" ht="16.05" customHeight="1">
      <c r="B4" s="115" t="s">
        <v>116</v>
      </c>
      <c r="C4" s="119" t="s">
        <v>110</v>
      </c>
      <c r="K4"/>
      <c r="L4" s="42"/>
      <c r="M4" s="128" t="s">
        <v>124</v>
      </c>
      <c r="N4" s="129" t="s">
        <v>125</v>
      </c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</row>
    <row r="5" spans="2:30" s="127" customFormat="1" ht="16.05" customHeight="1">
      <c r="B5" s="126" t="s">
        <v>5</v>
      </c>
      <c r="C5" s="118" t="s">
        <v>34</v>
      </c>
      <c r="D5" s="118" t="s">
        <v>113</v>
      </c>
      <c r="E5" s="118" t="s">
        <v>83</v>
      </c>
      <c r="F5" s="118" t="s">
        <v>115</v>
      </c>
      <c r="G5" s="118" t="s">
        <v>45</v>
      </c>
      <c r="H5" s="118" t="s">
        <v>114</v>
      </c>
      <c r="I5" s="118" t="s">
        <v>112</v>
      </c>
      <c r="J5" s="118" t="s">
        <v>31</v>
      </c>
      <c r="M5" s="125" t="s">
        <v>72</v>
      </c>
      <c r="N5" s="125"/>
      <c r="O5" s="122" t="s">
        <v>8</v>
      </c>
      <c r="P5" s="122"/>
      <c r="Q5" s="121" t="s">
        <v>33</v>
      </c>
      <c r="R5" s="121"/>
      <c r="S5" s="121" t="s">
        <v>30</v>
      </c>
      <c r="T5" s="121"/>
      <c r="U5" s="121" t="s">
        <v>68</v>
      </c>
      <c r="V5" s="121"/>
      <c r="W5" s="121" t="s">
        <v>32</v>
      </c>
      <c r="X5" s="121"/>
      <c r="Y5" s="121" t="s">
        <v>121</v>
      </c>
      <c r="Z5" s="121"/>
      <c r="AA5" s="121" t="s">
        <v>70</v>
      </c>
      <c r="AB5" s="121"/>
      <c r="AC5" s="121" t="s">
        <v>119</v>
      </c>
      <c r="AD5" s="121" t="s">
        <v>118</v>
      </c>
    </row>
    <row r="6" spans="2:30" ht="16.05" customHeight="1">
      <c r="B6" t="s">
        <v>13</v>
      </c>
      <c r="C6" s="117">
        <v>0</v>
      </c>
      <c r="D6" s="117">
        <v>22</v>
      </c>
      <c r="E6" s="117">
        <v>0</v>
      </c>
      <c r="F6" s="117">
        <v>0</v>
      </c>
      <c r="G6" s="117">
        <v>0</v>
      </c>
      <c r="H6" s="117">
        <v>0</v>
      </c>
      <c r="I6" s="117">
        <v>115</v>
      </c>
      <c r="J6" s="117">
        <v>22</v>
      </c>
      <c r="K6"/>
      <c r="L6" s="29" t="s">
        <v>5</v>
      </c>
      <c r="M6" s="118" t="s">
        <v>111</v>
      </c>
      <c r="N6" s="124" t="s">
        <v>117</v>
      </c>
      <c r="O6" s="118" t="s">
        <v>111</v>
      </c>
      <c r="P6" s="30" t="s">
        <v>117</v>
      </c>
      <c r="Q6" s="30" t="s">
        <v>111</v>
      </c>
      <c r="R6" s="30" t="s">
        <v>117</v>
      </c>
      <c r="S6" s="30" t="s">
        <v>111</v>
      </c>
      <c r="T6" s="30" t="s">
        <v>117</v>
      </c>
      <c r="U6" s="30" t="s">
        <v>111</v>
      </c>
      <c r="V6" s="30" t="s">
        <v>117</v>
      </c>
      <c r="W6" s="30" t="s">
        <v>111</v>
      </c>
      <c r="X6" s="30" t="s">
        <v>117</v>
      </c>
      <c r="Y6" s="30" t="s">
        <v>111</v>
      </c>
      <c r="Z6" s="30" t="s">
        <v>117</v>
      </c>
      <c r="AA6" s="30" t="s">
        <v>111</v>
      </c>
      <c r="AB6" s="30" t="s">
        <v>117</v>
      </c>
      <c r="AC6" s="121"/>
      <c r="AD6" s="121"/>
    </row>
    <row r="7" spans="2:30" ht="16.05" customHeight="1">
      <c r="B7" t="s">
        <v>20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/>
      <c r="L7" s="30" t="s">
        <v>13</v>
      </c>
      <c r="M7" s="117">
        <v>0</v>
      </c>
      <c r="N7" s="123">
        <v>0</v>
      </c>
      <c r="O7" s="117">
        <v>22</v>
      </c>
      <c r="P7" s="123">
        <v>0.138364779874214</v>
      </c>
      <c r="Q7" s="117">
        <v>0</v>
      </c>
      <c r="R7" s="34">
        <v>0</v>
      </c>
      <c r="S7" s="116">
        <v>0</v>
      </c>
      <c r="T7" s="34">
        <v>0</v>
      </c>
      <c r="U7" s="116">
        <v>0</v>
      </c>
      <c r="V7" s="34">
        <v>0</v>
      </c>
      <c r="W7" s="116">
        <v>0</v>
      </c>
      <c r="X7" s="34">
        <v>0</v>
      </c>
      <c r="Y7" s="116">
        <v>115</v>
      </c>
      <c r="Z7" s="34">
        <v>0.72327044025157206</v>
      </c>
      <c r="AA7" s="116">
        <v>22</v>
      </c>
      <c r="AB7" s="34">
        <v>0.138364779874214</v>
      </c>
      <c r="AC7" s="116">
        <v>159</v>
      </c>
      <c r="AD7" s="34">
        <v>1</v>
      </c>
    </row>
    <row r="8" spans="2:30" ht="16.05" customHeight="1">
      <c r="B8" t="s">
        <v>22</v>
      </c>
      <c r="C8" s="117">
        <v>0</v>
      </c>
      <c r="D8" s="117">
        <v>23</v>
      </c>
      <c r="E8" s="117">
        <v>0</v>
      </c>
      <c r="F8" s="117">
        <v>0</v>
      </c>
      <c r="G8" s="117">
        <v>0</v>
      </c>
      <c r="H8" s="117">
        <v>35</v>
      </c>
      <c r="I8" s="117">
        <v>0</v>
      </c>
      <c r="J8" s="117">
        <v>0</v>
      </c>
      <c r="K8"/>
      <c r="L8" s="30" t="s">
        <v>20</v>
      </c>
      <c r="M8" s="117">
        <v>0</v>
      </c>
      <c r="O8" s="117">
        <v>0</v>
      </c>
      <c r="Q8" s="117">
        <v>0</v>
      </c>
      <c r="R8" s="34"/>
      <c r="S8" s="116">
        <v>0</v>
      </c>
      <c r="T8" s="34"/>
      <c r="U8" s="116">
        <v>0</v>
      </c>
      <c r="V8" s="34"/>
      <c r="W8" s="116">
        <v>0</v>
      </c>
      <c r="X8" s="34"/>
      <c r="Y8" s="116">
        <v>0</v>
      </c>
      <c r="Z8" s="34"/>
      <c r="AA8" s="116">
        <v>0</v>
      </c>
      <c r="AB8" s="34"/>
      <c r="AC8" s="116">
        <v>0</v>
      </c>
      <c r="AD8" s="34"/>
    </row>
    <row r="9" spans="2:30" ht="16.05" customHeight="1">
      <c r="B9" t="s">
        <v>19</v>
      </c>
      <c r="C9" s="117">
        <v>0</v>
      </c>
      <c r="D9" s="117">
        <v>0</v>
      </c>
      <c r="E9" s="117">
        <v>0</v>
      </c>
      <c r="F9" s="117">
        <v>0</v>
      </c>
      <c r="G9" s="117">
        <v>0</v>
      </c>
      <c r="H9" s="117">
        <v>0</v>
      </c>
      <c r="I9" s="117">
        <v>0</v>
      </c>
      <c r="J9" s="117">
        <v>0</v>
      </c>
      <c r="K9"/>
      <c r="L9" s="30" t="s">
        <v>22</v>
      </c>
      <c r="M9" s="117">
        <v>0</v>
      </c>
      <c r="N9" s="123">
        <v>0</v>
      </c>
      <c r="O9" s="117">
        <v>23</v>
      </c>
      <c r="P9" s="123">
        <v>0.39655172413793099</v>
      </c>
      <c r="Q9" s="117">
        <v>0</v>
      </c>
      <c r="R9" s="34">
        <v>0</v>
      </c>
      <c r="S9" s="116">
        <v>0</v>
      </c>
      <c r="T9" s="34">
        <v>0</v>
      </c>
      <c r="U9" s="116">
        <v>35</v>
      </c>
      <c r="V9" s="34">
        <v>0.60344827586206895</v>
      </c>
      <c r="W9" s="116">
        <v>0</v>
      </c>
      <c r="X9" s="34">
        <v>0</v>
      </c>
      <c r="Y9" s="116">
        <v>0</v>
      </c>
      <c r="Z9" s="34">
        <v>0</v>
      </c>
      <c r="AA9" s="116">
        <v>0</v>
      </c>
      <c r="AB9" s="34">
        <v>0</v>
      </c>
      <c r="AC9" s="116">
        <v>58</v>
      </c>
      <c r="AD9" s="34">
        <v>1</v>
      </c>
    </row>
    <row r="10" spans="2:30" ht="16.05" customHeight="1">
      <c r="B10" t="s">
        <v>16</v>
      </c>
      <c r="C10" s="117">
        <v>0</v>
      </c>
      <c r="D10" s="117">
        <v>112</v>
      </c>
      <c r="E10" s="117">
        <v>0</v>
      </c>
      <c r="F10" s="117">
        <v>0</v>
      </c>
      <c r="G10" s="117">
        <v>24</v>
      </c>
      <c r="H10" s="117">
        <v>54</v>
      </c>
      <c r="I10" s="117">
        <v>0</v>
      </c>
      <c r="J10" s="117">
        <v>0</v>
      </c>
      <c r="K10"/>
      <c r="L10" s="30" t="s">
        <v>19</v>
      </c>
      <c r="M10" s="117">
        <v>0</v>
      </c>
      <c r="O10" s="117">
        <v>0</v>
      </c>
      <c r="Q10" s="117">
        <v>0</v>
      </c>
      <c r="R10" s="34"/>
      <c r="S10" s="116">
        <v>0</v>
      </c>
      <c r="T10" s="34"/>
      <c r="U10" s="116">
        <v>0</v>
      </c>
      <c r="V10" s="34"/>
      <c r="W10" s="116">
        <v>0</v>
      </c>
      <c r="X10" s="34"/>
      <c r="Y10" s="116">
        <v>0</v>
      </c>
      <c r="Z10" s="34"/>
      <c r="AA10" s="116">
        <v>0</v>
      </c>
      <c r="AB10" s="34"/>
      <c r="AC10" s="116">
        <v>0</v>
      </c>
      <c r="AD10" s="34"/>
    </row>
    <row r="11" spans="2:30" ht="16.05" customHeight="1">
      <c r="B11" t="s">
        <v>17</v>
      </c>
      <c r="C11" s="117">
        <v>0</v>
      </c>
      <c r="D11" s="117">
        <v>102</v>
      </c>
      <c r="E11" s="117">
        <v>0</v>
      </c>
      <c r="F11" s="117">
        <v>0</v>
      </c>
      <c r="G11" s="117">
        <v>35</v>
      </c>
      <c r="H11" s="117">
        <v>57</v>
      </c>
      <c r="I11" s="117">
        <v>0</v>
      </c>
      <c r="J11" s="117">
        <v>22</v>
      </c>
      <c r="K11"/>
      <c r="L11" s="30" t="s">
        <v>16</v>
      </c>
      <c r="M11" s="117">
        <v>0</v>
      </c>
      <c r="N11" s="123">
        <v>0</v>
      </c>
      <c r="O11" s="117">
        <v>112</v>
      </c>
      <c r="P11" s="123">
        <v>0.58947368421052604</v>
      </c>
      <c r="Q11" s="117">
        <v>0</v>
      </c>
      <c r="R11" s="34">
        <v>0</v>
      </c>
      <c r="S11" s="116">
        <v>24</v>
      </c>
      <c r="T11" s="34">
        <v>0.12631578947368399</v>
      </c>
      <c r="U11" s="116">
        <v>54</v>
      </c>
      <c r="V11" s="34">
        <v>0.28421052631579002</v>
      </c>
      <c r="W11" s="116">
        <v>0</v>
      </c>
      <c r="X11" s="34">
        <v>0</v>
      </c>
      <c r="Y11" s="116">
        <v>0</v>
      </c>
      <c r="Z11" s="34">
        <v>0</v>
      </c>
      <c r="AA11" s="116">
        <v>0</v>
      </c>
      <c r="AB11" s="34">
        <v>0</v>
      </c>
      <c r="AC11" s="116">
        <v>190</v>
      </c>
      <c r="AD11" s="34">
        <v>1</v>
      </c>
    </row>
    <row r="12" spans="2:30" ht="16.05" customHeight="1">
      <c r="B12" t="s">
        <v>18</v>
      </c>
      <c r="C12" s="117">
        <v>0</v>
      </c>
      <c r="D12" s="117">
        <v>0</v>
      </c>
      <c r="E12" s="117">
        <v>78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/>
      <c r="L12" s="30" t="s">
        <v>17</v>
      </c>
      <c r="M12" s="117">
        <v>0</v>
      </c>
      <c r="N12" s="123">
        <v>0</v>
      </c>
      <c r="O12" s="117">
        <v>102</v>
      </c>
      <c r="P12" s="123">
        <v>0.47222222222222199</v>
      </c>
      <c r="Q12" s="117">
        <v>0</v>
      </c>
      <c r="R12" s="34">
        <v>0</v>
      </c>
      <c r="S12" s="116">
        <v>35</v>
      </c>
      <c r="T12" s="34">
        <v>0.16203703703703701</v>
      </c>
      <c r="U12" s="116">
        <v>57</v>
      </c>
      <c r="V12" s="34">
        <v>0.26388888888888901</v>
      </c>
      <c r="W12" s="116">
        <v>0</v>
      </c>
      <c r="X12" s="34">
        <v>0</v>
      </c>
      <c r="Y12" s="116">
        <v>0</v>
      </c>
      <c r="Z12" s="34">
        <v>0</v>
      </c>
      <c r="AA12" s="116">
        <v>22</v>
      </c>
      <c r="AB12" s="34">
        <v>0.101851851851852</v>
      </c>
      <c r="AC12" s="116">
        <v>216</v>
      </c>
      <c r="AD12" s="34">
        <v>0.99999999999999989</v>
      </c>
    </row>
    <row r="13" spans="2:30" ht="16.05" customHeight="1">
      <c r="B13" t="s">
        <v>14</v>
      </c>
      <c r="C13" s="117">
        <v>0</v>
      </c>
      <c r="D13" s="117">
        <v>120</v>
      </c>
      <c r="E13" s="117">
        <v>0</v>
      </c>
      <c r="F13" s="117">
        <v>0</v>
      </c>
      <c r="G13" s="117">
        <v>0</v>
      </c>
      <c r="H13" s="117">
        <v>0</v>
      </c>
      <c r="I13" s="117">
        <v>25</v>
      </c>
      <c r="J13" s="117">
        <v>0</v>
      </c>
      <c r="K13"/>
      <c r="L13" s="30" t="s">
        <v>18</v>
      </c>
      <c r="M13" s="117">
        <v>0</v>
      </c>
      <c r="N13" s="123">
        <v>0</v>
      </c>
      <c r="O13" s="117">
        <v>0</v>
      </c>
      <c r="P13" s="123">
        <v>0</v>
      </c>
      <c r="Q13" s="117">
        <v>78</v>
      </c>
      <c r="R13" s="34">
        <v>1</v>
      </c>
      <c r="S13" s="116">
        <v>0</v>
      </c>
      <c r="T13" s="34">
        <v>0</v>
      </c>
      <c r="U13" s="116">
        <v>0</v>
      </c>
      <c r="V13" s="34">
        <v>0</v>
      </c>
      <c r="W13" s="116">
        <v>0</v>
      </c>
      <c r="X13" s="34">
        <v>0</v>
      </c>
      <c r="Y13" s="116">
        <v>0</v>
      </c>
      <c r="Z13" s="34">
        <v>0</v>
      </c>
      <c r="AA13" s="116">
        <v>0</v>
      </c>
      <c r="AB13" s="34">
        <v>0</v>
      </c>
      <c r="AC13" s="116">
        <v>78</v>
      </c>
      <c r="AD13" s="34">
        <v>1</v>
      </c>
    </row>
    <row r="14" spans="2:30" ht="16.05" customHeight="1">
      <c r="B14" t="s">
        <v>15</v>
      </c>
      <c r="C14" s="117">
        <v>0</v>
      </c>
      <c r="D14" s="117">
        <v>0</v>
      </c>
      <c r="E14" s="117">
        <v>0</v>
      </c>
      <c r="F14" s="117">
        <v>225</v>
      </c>
      <c r="G14" s="117">
        <v>0</v>
      </c>
      <c r="H14" s="117">
        <v>0</v>
      </c>
      <c r="I14" s="117">
        <v>161</v>
      </c>
      <c r="J14" s="117">
        <v>0</v>
      </c>
      <c r="K14"/>
      <c r="L14" s="30" t="s">
        <v>14</v>
      </c>
      <c r="M14" s="117">
        <v>0</v>
      </c>
      <c r="N14" s="123">
        <v>0</v>
      </c>
      <c r="O14" s="117">
        <v>120</v>
      </c>
      <c r="P14" s="123">
        <v>0.82758620689655205</v>
      </c>
      <c r="Q14" s="117">
        <v>0</v>
      </c>
      <c r="R14" s="34">
        <v>0</v>
      </c>
      <c r="S14" s="116">
        <v>0</v>
      </c>
      <c r="T14" s="34">
        <v>0</v>
      </c>
      <c r="U14" s="116">
        <v>0</v>
      </c>
      <c r="V14" s="34">
        <v>0</v>
      </c>
      <c r="W14" s="116">
        <v>0</v>
      </c>
      <c r="X14" s="34">
        <v>0</v>
      </c>
      <c r="Y14" s="116">
        <v>25</v>
      </c>
      <c r="Z14" s="34">
        <v>0.17241379310344801</v>
      </c>
      <c r="AA14" s="116">
        <v>0</v>
      </c>
      <c r="AB14" s="34">
        <v>0</v>
      </c>
      <c r="AC14" s="116">
        <v>145</v>
      </c>
      <c r="AD14" s="34">
        <v>1</v>
      </c>
    </row>
    <row r="15" spans="2:30" ht="16.05" customHeight="1">
      <c r="B15" t="s">
        <v>46</v>
      </c>
      <c r="C15" s="117">
        <v>0</v>
      </c>
      <c r="D15" s="117">
        <v>379</v>
      </c>
      <c r="E15" s="117">
        <v>78</v>
      </c>
      <c r="F15" s="117">
        <v>225</v>
      </c>
      <c r="G15" s="117">
        <v>59</v>
      </c>
      <c r="H15" s="117">
        <v>146</v>
      </c>
      <c r="I15" s="117">
        <v>301</v>
      </c>
      <c r="J15" s="117">
        <v>44</v>
      </c>
      <c r="K15"/>
      <c r="L15" s="30" t="s">
        <v>15</v>
      </c>
      <c r="M15" s="117">
        <v>0</v>
      </c>
      <c r="N15" s="123">
        <v>0</v>
      </c>
      <c r="O15" s="117">
        <v>0</v>
      </c>
      <c r="P15" s="123">
        <v>0</v>
      </c>
      <c r="Q15" s="117">
        <v>0</v>
      </c>
      <c r="R15" s="34">
        <v>0</v>
      </c>
      <c r="S15" s="116">
        <v>0</v>
      </c>
      <c r="T15" s="34">
        <v>0</v>
      </c>
      <c r="U15" s="116">
        <v>0</v>
      </c>
      <c r="V15" s="34">
        <v>0</v>
      </c>
      <c r="W15" s="116">
        <v>225</v>
      </c>
      <c r="X15" s="34">
        <v>0.58290155440414504</v>
      </c>
      <c r="Y15" s="116">
        <v>161</v>
      </c>
      <c r="Z15" s="34">
        <v>0.41709844559585502</v>
      </c>
      <c r="AA15" s="116">
        <v>0</v>
      </c>
      <c r="AB15" s="34">
        <v>0</v>
      </c>
      <c r="AC15" s="116">
        <v>386</v>
      </c>
      <c r="AD15" s="34">
        <v>1</v>
      </c>
    </row>
    <row r="16" spans="2:30" ht="16.05" customHeight="1"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1:30" ht="16.05" customHeight="1">
      <c r="K17"/>
      <c r="L17"/>
    </row>
    <row r="18" spans="11:30" ht="16.05" customHeight="1">
      <c r="K18"/>
      <c r="L18"/>
    </row>
    <row r="19" spans="11:30" ht="16.05" customHeight="1">
      <c r="K19"/>
      <c r="L19"/>
    </row>
    <row r="20" spans="11:30" ht="16.05" customHeight="1">
      <c r="K20"/>
      <c r="L20"/>
    </row>
    <row r="21" spans="11:30" ht="16.05" customHeight="1">
      <c r="K21"/>
      <c r="L21"/>
    </row>
    <row r="22" spans="11:30" ht="16.05" customHeight="1">
      <c r="K22"/>
      <c r="L22"/>
    </row>
    <row r="23" spans="11:30" ht="16.05" customHeight="1">
      <c r="K23"/>
      <c r="L23"/>
    </row>
    <row r="24" spans="11:30" ht="16.05" customHeight="1">
      <c r="K24"/>
      <c r="L24"/>
    </row>
    <row r="25" spans="11:30" ht="16.05" customHeight="1">
      <c r="K25"/>
      <c r="L25"/>
    </row>
    <row r="26" spans="11:30" ht="16.05" customHeight="1">
      <c r="K26"/>
      <c r="L26" s="42"/>
      <c r="M26" s="120" t="s">
        <v>124</v>
      </c>
      <c r="N26" s="120" t="s">
        <v>125</v>
      </c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/>
      <c r="AD26"/>
    </row>
    <row r="27" spans="11:30" ht="16.05" customHeight="1">
      <c r="K27"/>
      <c r="L27" s="42"/>
      <c r="M27" s="121" t="s">
        <v>72</v>
      </c>
      <c r="N27" s="44"/>
      <c r="O27" s="121" t="s">
        <v>8</v>
      </c>
      <c r="P27" s="44"/>
      <c r="Q27" s="121" t="s">
        <v>33</v>
      </c>
      <c r="R27" s="44"/>
      <c r="S27" s="121" t="s">
        <v>30</v>
      </c>
      <c r="T27" s="44"/>
      <c r="U27" s="121" t="s">
        <v>68</v>
      </c>
      <c r="V27" s="44"/>
      <c r="W27" s="121" t="s">
        <v>32</v>
      </c>
      <c r="X27" s="44"/>
      <c r="Y27" s="121" t="s">
        <v>121</v>
      </c>
      <c r="Z27" s="44"/>
      <c r="AA27" s="121" t="s">
        <v>70</v>
      </c>
      <c r="AB27" s="44"/>
      <c r="AC27"/>
      <c r="AD27"/>
    </row>
    <row r="28" spans="11:30" ht="16.05" customHeight="1">
      <c r="K28"/>
      <c r="L28" s="120" t="s">
        <v>5</v>
      </c>
      <c r="M28" s="30" t="s">
        <v>111</v>
      </c>
      <c r="N28" s="30" t="s">
        <v>120</v>
      </c>
      <c r="O28" s="30" t="s">
        <v>111</v>
      </c>
      <c r="P28" s="30" t="s">
        <v>120</v>
      </c>
      <c r="Q28" s="30" t="s">
        <v>111</v>
      </c>
      <c r="R28" s="30" t="s">
        <v>120</v>
      </c>
      <c r="S28" s="30" t="s">
        <v>111</v>
      </c>
      <c r="T28" s="30" t="s">
        <v>120</v>
      </c>
      <c r="U28" s="30" t="s">
        <v>111</v>
      </c>
      <c r="V28" s="30" t="s">
        <v>120</v>
      </c>
      <c r="W28" s="30" t="s">
        <v>111</v>
      </c>
      <c r="X28" s="30" t="s">
        <v>120</v>
      </c>
      <c r="Y28" s="30" t="s">
        <v>111</v>
      </c>
      <c r="Z28" s="30" t="s">
        <v>120</v>
      </c>
      <c r="AA28" s="30" t="s">
        <v>111</v>
      </c>
      <c r="AB28" s="30" t="s">
        <v>120</v>
      </c>
      <c r="AC28"/>
      <c r="AD28"/>
    </row>
    <row r="29" spans="11:30" ht="16.05" customHeight="1">
      <c r="K29"/>
      <c r="L29" s="30" t="s">
        <v>13</v>
      </c>
      <c r="M29" s="117">
        <v>0</v>
      </c>
      <c r="O29" s="117">
        <v>22</v>
      </c>
      <c r="P29" s="123">
        <v>5.8047493403693903E-2</v>
      </c>
      <c r="Q29" s="117">
        <v>0</v>
      </c>
      <c r="R29" s="123">
        <v>0</v>
      </c>
      <c r="S29" s="117">
        <v>0</v>
      </c>
      <c r="T29" s="123">
        <v>0</v>
      </c>
      <c r="U29" s="117">
        <v>0</v>
      </c>
      <c r="V29" s="123">
        <v>0</v>
      </c>
      <c r="W29" s="117">
        <v>0</v>
      </c>
      <c r="X29" s="123">
        <v>0</v>
      </c>
      <c r="Y29" s="117">
        <v>115</v>
      </c>
      <c r="Z29" s="123">
        <v>0.382059800664452</v>
      </c>
      <c r="AA29" s="117">
        <v>22</v>
      </c>
      <c r="AB29" s="123">
        <v>0.5</v>
      </c>
      <c r="AC29"/>
      <c r="AD29"/>
    </row>
    <row r="30" spans="11:30" ht="16.05" customHeight="1">
      <c r="K30"/>
      <c r="L30" s="30" t="s">
        <v>20</v>
      </c>
      <c r="M30" s="117">
        <v>0</v>
      </c>
      <c r="O30" s="117">
        <v>0</v>
      </c>
      <c r="P30" s="123">
        <v>0</v>
      </c>
      <c r="Q30" s="117">
        <v>0</v>
      </c>
      <c r="R30" s="123">
        <v>0</v>
      </c>
      <c r="S30" s="117">
        <v>0</v>
      </c>
      <c r="T30" s="123">
        <v>0</v>
      </c>
      <c r="U30" s="117">
        <v>0</v>
      </c>
      <c r="V30" s="123">
        <v>0</v>
      </c>
      <c r="W30" s="117">
        <v>0</v>
      </c>
      <c r="X30" s="123">
        <v>0</v>
      </c>
      <c r="Y30" s="117">
        <v>0</v>
      </c>
      <c r="Z30" s="123">
        <v>0</v>
      </c>
      <c r="AA30" s="117">
        <v>0</v>
      </c>
      <c r="AB30" s="123">
        <v>0</v>
      </c>
      <c r="AC30"/>
      <c r="AD30"/>
    </row>
    <row r="31" spans="11:30" ht="16.05" customHeight="1">
      <c r="K31"/>
      <c r="L31" s="30" t="s">
        <v>22</v>
      </c>
      <c r="M31" s="117">
        <v>0</v>
      </c>
      <c r="O31" s="117">
        <v>23</v>
      </c>
      <c r="P31" s="123">
        <v>6.0686015831134602E-2</v>
      </c>
      <c r="Q31" s="117">
        <v>0</v>
      </c>
      <c r="R31" s="123">
        <v>0</v>
      </c>
      <c r="S31" s="117">
        <v>0</v>
      </c>
      <c r="T31" s="123">
        <v>0</v>
      </c>
      <c r="U31" s="117">
        <v>35</v>
      </c>
      <c r="V31" s="123">
        <v>0.23972602739726001</v>
      </c>
      <c r="W31" s="117">
        <v>0</v>
      </c>
      <c r="X31" s="123">
        <v>0</v>
      </c>
      <c r="Y31" s="117">
        <v>0</v>
      </c>
      <c r="Z31" s="123">
        <v>0</v>
      </c>
      <c r="AA31" s="117">
        <v>0</v>
      </c>
      <c r="AB31" s="123">
        <v>0</v>
      </c>
      <c r="AC31"/>
      <c r="AD31"/>
    </row>
    <row r="32" spans="11:30" ht="16.05" customHeight="1">
      <c r="K32"/>
      <c r="L32" s="30" t="s">
        <v>19</v>
      </c>
      <c r="M32" s="117">
        <v>0</v>
      </c>
      <c r="O32" s="117">
        <v>0</v>
      </c>
      <c r="P32" s="123">
        <v>0</v>
      </c>
      <c r="Q32" s="117">
        <v>0</v>
      </c>
      <c r="R32" s="123">
        <v>0</v>
      </c>
      <c r="S32" s="117">
        <v>0</v>
      </c>
      <c r="T32" s="123">
        <v>0</v>
      </c>
      <c r="U32" s="117">
        <v>0</v>
      </c>
      <c r="V32" s="123">
        <v>0</v>
      </c>
      <c r="W32" s="117">
        <v>0</v>
      </c>
      <c r="X32" s="123">
        <v>0</v>
      </c>
      <c r="Y32" s="117">
        <v>0</v>
      </c>
      <c r="Z32" s="123">
        <v>0</v>
      </c>
      <c r="AA32" s="117">
        <v>0</v>
      </c>
      <c r="AB32" s="123">
        <v>0</v>
      </c>
      <c r="AC32"/>
      <c r="AD32"/>
    </row>
    <row r="33" spans="11:30" ht="16.05" customHeight="1">
      <c r="K33"/>
      <c r="L33" s="30" t="s">
        <v>16</v>
      </c>
      <c r="M33" s="117">
        <v>0</v>
      </c>
      <c r="O33" s="117">
        <v>112</v>
      </c>
      <c r="P33" s="123">
        <v>0.29551451187335098</v>
      </c>
      <c r="Q33" s="117">
        <v>0</v>
      </c>
      <c r="R33" s="123">
        <v>0</v>
      </c>
      <c r="S33" s="117">
        <v>24</v>
      </c>
      <c r="T33" s="123">
        <v>0.40677966101694901</v>
      </c>
      <c r="U33" s="117">
        <v>54</v>
      </c>
      <c r="V33" s="123">
        <v>0.36986301369863001</v>
      </c>
      <c r="W33" s="117">
        <v>0</v>
      </c>
      <c r="X33" s="123">
        <v>0</v>
      </c>
      <c r="Y33" s="117">
        <v>0</v>
      </c>
      <c r="Z33" s="123">
        <v>0</v>
      </c>
      <c r="AA33" s="117">
        <v>0</v>
      </c>
      <c r="AB33" s="123">
        <v>0</v>
      </c>
      <c r="AC33"/>
      <c r="AD33"/>
    </row>
    <row r="34" spans="11:30" ht="16.05" customHeight="1">
      <c r="K34"/>
      <c r="L34" s="30" t="s">
        <v>17</v>
      </c>
      <c r="M34" s="117">
        <v>0</v>
      </c>
      <c r="O34" s="117">
        <v>102</v>
      </c>
      <c r="P34" s="123">
        <v>0.269129287598945</v>
      </c>
      <c r="Q34" s="117">
        <v>0</v>
      </c>
      <c r="R34" s="123">
        <v>0</v>
      </c>
      <c r="S34" s="117">
        <v>35</v>
      </c>
      <c r="T34" s="123">
        <v>0.59322033898305104</v>
      </c>
      <c r="U34" s="117">
        <v>57</v>
      </c>
      <c r="V34" s="123">
        <v>0.39041095890410998</v>
      </c>
      <c r="W34" s="117">
        <v>0</v>
      </c>
      <c r="X34" s="123">
        <v>0</v>
      </c>
      <c r="Y34" s="117">
        <v>0</v>
      </c>
      <c r="Z34" s="123">
        <v>0</v>
      </c>
      <c r="AA34" s="117">
        <v>22</v>
      </c>
      <c r="AB34" s="123">
        <v>0.5</v>
      </c>
      <c r="AC34"/>
      <c r="AD34"/>
    </row>
    <row r="35" spans="11:30" ht="16.05" customHeight="1">
      <c r="K35"/>
      <c r="L35" s="30" t="s">
        <v>18</v>
      </c>
      <c r="M35" s="117">
        <v>0</v>
      </c>
      <c r="O35" s="117">
        <v>0</v>
      </c>
      <c r="P35" s="123">
        <v>0</v>
      </c>
      <c r="Q35" s="117">
        <v>78</v>
      </c>
      <c r="R35" s="123">
        <v>1</v>
      </c>
      <c r="S35" s="117">
        <v>0</v>
      </c>
      <c r="T35" s="123">
        <v>0</v>
      </c>
      <c r="U35" s="117">
        <v>0</v>
      </c>
      <c r="V35" s="123">
        <v>0</v>
      </c>
      <c r="W35" s="117">
        <v>0</v>
      </c>
      <c r="X35" s="123">
        <v>0</v>
      </c>
      <c r="Y35" s="117">
        <v>0</v>
      </c>
      <c r="Z35" s="123">
        <v>0</v>
      </c>
      <c r="AA35" s="117">
        <v>0</v>
      </c>
      <c r="AB35" s="123">
        <v>0</v>
      </c>
      <c r="AC35"/>
      <c r="AD35"/>
    </row>
    <row r="36" spans="11:30" ht="16.05" customHeight="1">
      <c r="K36"/>
      <c r="L36" s="30" t="s">
        <v>14</v>
      </c>
      <c r="M36" s="117">
        <v>0</v>
      </c>
      <c r="O36" s="117">
        <v>120</v>
      </c>
      <c r="P36" s="123">
        <v>0.31662269129287601</v>
      </c>
      <c r="Q36" s="117">
        <v>0</v>
      </c>
      <c r="R36" s="123">
        <v>0</v>
      </c>
      <c r="S36" s="117">
        <v>0</v>
      </c>
      <c r="T36" s="123">
        <v>0</v>
      </c>
      <c r="U36" s="117">
        <v>0</v>
      </c>
      <c r="V36" s="123">
        <v>0</v>
      </c>
      <c r="W36" s="117">
        <v>0</v>
      </c>
      <c r="X36" s="123">
        <v>0</v>
      </c>
      <c r="Y36" s="117">
        <v>25</v>
      </c>
      <c r="Z36" s="123">
        <v>8.3056478405315604E-2</v>
      </c>
      <c r="AA36" s="117">
        <v>0</v>
      </c>
      <c r="AB36" s="123">
        <v>0</v>
      </c>
      <c r="AC36"/>
      <c r="AD36"/>
    </row>
    <row r="37" spans="11:30" ht="16.05" customHeight="1">
      <c r="K37"/>
      <c r="L37" s="30" t="s">
        <v>15</v>
      </c>
      <c r="M37" s="117">
        <v>0</v>
      </c>
      <c r="O37" s="117">
        <v>0</v>
      </c>
      <c r="P37" s="123">
        <v>0</v>
      </c>
      <c r="Q37" s="117">
        <v>0</v>
      </c>
      <c r="R37" s="123">
        <v>0</v>
      </c>
      <c r="S37" s="117">
        <v>0</v>
      </c>
      <c r="T37" s="123">
        <v>0</v>
      </c>
      <c r="U37" s="117">
        <v>0</v>
      </c>
      <c r="V37" s="123">
        <v>0</v>
      </c>
      <c r="W37" s="117">
        <v>225</v>
      </c>
      <c r="X37" s="123">
        <v>1</v>
      </c>
      <c r="Y37" s="117">
        <v>161</v>
      </c>
      <c r="Z37" s="123">
        <v>0.53488372093023295</v>
      </c>
      <c r="AA37" s="117">
        <v>0</v>
      </c>
      <c r="AB37" s="123">
        <v>0</v>
      </c>
      <c r="AC37"/>
      <c r="AD37"/>
    </row>
    <row r="38" spans="11:30" ht="16.05" customHeight="1">
      <c r="K38"/>
      <c r="L38" s="30" t="s">
        <v>46</v>
      </c>
      <c r="M38" s="117">
        <v>0</v>
      </c>
      <c r="O38" s="117">
        <v>379</v>
      </c>
      <c r="P38" s="123">
        <v>1.0000000000000004</v>
      </c>
      <c r="Q38" s="117">
        <v>78</v>
      </c>
      <c r="R38" s="123">
        <v>1</v>
      </c>
      <c r="S38" s="117">
        <v>59</v>
      </c>
      <c r="T38" s="123">
        <v>1</v>
      </c>
      <c r="U38" s="117">
        <v>146</v>
      </c>
      <c r="V38" s="123">
        <v>1</v>
      </c>
      <c r="W38" s="117">
        <v>225</v>
      </c>
      <c r="X38" s="123">
        <v>1</v>
      </c>
      <c r="Y38" s="117">
        <v>301</v>
      </c>
      <c r="Z38" s="123">
        <v>1.0000000000000004</v>
      </c>
      <c r="AA38" s="117">
        <v>44</v>
      </c>
      <c r="AB38" s="123">
        <v>1</v>
      </c>
      <c r="AC38"/>
      <c r="AD38"/>
    </row>
    <row r="39" spans="11:30" ht="16.05" customHeight="1">
      <c r="K39"/>
      <c r="L39"/>
      <c r="M39"/>
      <c r="N39"/>
    </row>
    <row r="40" spans="11:30" ht="16.05" customHeight="1">
      <c r="K40"/>
      <c r="L40"/>
      <c r="M40"/>
      <c r="N40"/>
    </row>
    <row r="41" spans="11:30" ht="16.05" customHeight="1">
      <c r="K41"/>
      <c r="L41"/>
      <c r="M41"/>
      <c r="N41"/>
    </row>
    <row r="42" spans="11:30" ht="16.05" customHeight="1">
      <c r="K42"/>
      <c r="L42"/>
      <c r="M42"/>
      <c r="N42"/>
    </row>
    <row r="43" spans="11:30" ht="16.05" customHeight="1">
      <c r="K43"/>
      <c r="L43"/>
      <c r="M43"/>
      <c r="N43"/>
    </row>
    <row r="44" spans="11:30" ht="16.05" customHeight="1">
      <c r="K44"/>
      <c r="L44"/>
    </row>
    <row r="45" spans="11:30" ht="16.05" customHeight="1">
      <c r="K45"/>
      <c r="L45"/>
    </row>
    <row r="46" spans="11:30" ht="16.05" customHeight="1">
      <c r="K46"/>
      <c r="L46" s="115" t="s">
        <v>5</v>
      </c>
      <c r="M46" t="s">
        <v>111</v>
      </c>
      <c r="N46" t="s">
        <v>122</v>
      </c>
      <c r="O46" t="s">
        <v>123</v>
      </c>
      <c r="P46"/>
      <c r="Q46"/>
      <c r="R46"/>
    </row>
    <row r="47" spans="11:30" ht="16.05" customHeight="1">
      <c r="K47"/>
      <c r="L47" t="s">
        <v>13</v>
      </c>
      <c r="M47" s="117">
        <v>159</v>
      </c>
      <c r="N47" s="123">
        <v>1</v>
      </c>
      <c r="O47" s="123">
        <v>0</v>
      </c>
      <c r="P47"/>
      <c r="Q47"/>
      <c r="R47"/>
    </row>
    <row r="48" spans="11:30" ht="16.05" customHeight="1">
      <c r="K48"/>
      <c r="L48" t="s">
        <v>20</v>
      </c>
      <c r="M48" s="117">
        <v>0</v>
      </c>
      <c r="O48" s="123"/>
      <c r="P48"/>
      <c r="Q48"/>
      <c r="R48"/>
    </row>
    <row r="49" spans="11:18" ht="16.05" customHeight="1">
      <c r="K49"/>
      <c r="L49" t="s">
        <v>22</v>
      </c>
      <c r="M49" s="117">
        <v>58</v>
      </c>
      <c r="N49" s="123">
        <v>0.60344827586206895</v>
      </c>
      <c r="O49" s="123">
        <v>0.39655172413793099</v>
      </c>
      <c r="P49"/>
      <c r="Q49"/>
      <c r="R49"/>
    </row>
    <row r="50" spans="11:18" ht="16.05" customHeight="1">
      <c r="K50"/>
      <c r="L50" t="s">
        <v>19</v>
      </c>
      <c r="M50" s="117">
        <v>0</v>
      </c>
      <c r="O50" s="123"/>
      <c r="P50"/>
      <c r="Q50"/>
      <c r="R50"/>
    </row>
    <row r="51" spans="11:18" ht="16.05" customHeight="1">
      <c r="K51"/>
      <c r="L51" t="s">
        <v>16</v>
      </c>
      <c r="M51" s="117">
        <v>190</v>
      </c>
      <c r="N51" s="123">
        <v>1</v>
      </c>
      <c r="O51" s="123">
        <v>0</v>
      </c>
      <c r="P51"/>
      <c r="Q51"/>
      <c r="R51"/>
    </row>
    <row r="52" spans="11:18" ht="16.05" customHeight="1">
      <c r="K52"/>
      <c r="L52" t="s">
        <v>17</v>
      </c>
      <c r="M52" s="117">
        <v>216</v>
      </c>
      <c r="N52" s="123">
        <v>1</v>
      </c>
      <c r="O52" s="123">
        <v>0</v>
      </c>
      <c r="P52"/>
      <c r="Q52"/>
      <c r="R52"/>
    </row>
    <row r="53" spans="11:18" ht="16.05" customHeight="1">
      <c r="K53"/>
      <c r="L53" t="s">
        <v>18</v>
      </c>
      <c r="M53" s="117">
        <v>78</v>
      </c>
      <c r="N53" s="123">
        <v>0</v>
      </c>
      <c r="O53" s="123">
        <v>1</v>
      </c>
      <c r="P53"/>
      <c r="Q53"/>
      <c r="R53"/>
    </row>
    <row r="54" spans="11:18" ht="16.05" customHeight="1">
      <c r="K54"/>
      <c r="L54" t="s">
        <v>14</v>
      </c>
      <c r="M54" s="117">
        <v>145</v>
      </c>
      <c r="N54" s="123">
        <v>1</v>
      </c>
      <c r="O54" s="123">
        <v>0</v>
      </c>
      <c r="P54"/>
      <c r="Q54"/>
      <c r="R54"/>
    </row>
    <row r="55" spans="11:18" ht="16.05" customHeight="1">
      <c r="K55"/>
      <c r="L55" t="s">
        <v>15</v>
      </c>
      <c r="M55" s="117">
        <v>386</v>
      </c>
      <c r="N55" s="123">
        <v>0.54663212435233199</v>
      </c>
      <c r="O55" s="123">
        <v>0.45336787564766801</v>
      </c>
      <c r="P55"/>
      <c r="Q55"/>
      <c r="R55"/>
    </row>
    <row r="56" spans="11:18" ht="16.05" customHeight="1">
      <c r="K56"/>
      <c r="L56" t="s">
        <v>46</v>
      </c>
      <c r="M56" s="117">
        <v>1232</v>
      </c>
      <c r="N56" s="123">
        <v>5.1500804002144012</v>
      </c>
      <c r="O56" s="123">
        <v>1.8499195997855991</v>
      </c>
      <c r="P56"/>
      <c r="Q56"/>
      <c r="R56"/>
    </row>
    <row r="57" spans="11:18" ht="16.05" customHeight="1">
      <c r="K57"/>
      <c r="L57"/>
      <c r="M57"/>
      <c r="N57"/>
      <c r="O57"/>
      <c r="P57"/>
      <c r="Q57"/>
      <c r="R57"/>
    </row>
    <row r="58" spans="11:18" ht="16.05" customHeight="1">
      <c r="K58"/>
      <c r="L58"/>
      <c r="M58"/>
      <c r="N58"/>
    </row>
    <row r="59" spans="11:18" ht="16.05" customHeight="1">
      <c r="K59"/>
      <c r="L59"/>
      <c r="M59"/>
      <c r="N59"/>
    </row>
    <row r="60" spans="11:18" ht="16.05" customHeight="1">
      <c r="K60"/>
      <c r="L60"/>
      <c r="M60"/>
      <c r="N60"/>
    </row>
    <row r="61" spans="11:18" ht="16.05" customHeight="1">
      <c r="K61"/>
      <c r="L61"/>
      <c r="M61"/>
      <c r="N61"/>
    </row>
    <row r="62" spans="11:18" ht="16.05" customHeight="1">
      <c r="K62"/>
      <c r="L62"/>
      <c r="M62"/>
      <c r="N62"/>
    </row>
    <row r="63" spans="11:18" ht="16.05" customHeight="1">
      <c r="K63"/>
      <c r="L63"/>
      <c r="M63"/>
      <c r="N63"/>
    </row>
    <row r="64" spans="11:18" ht="16.05" customHeight="1">
      <c r="K64"/>
      <c r="L64"/>
    </row>
    <row r="65" spans="11:12" ht="16.05" customHeight="1">
      <c r="K65"/>
      <c r="L65"/>
    </row>
    <row r="66" spans="11:12" ht="16.05" customHeight="1">
      <c r="K66"/>
      <c r="L66"/>
    </row>
    <row r="67" spans="11:12" ht="16.05" customHeight="1">
      <c r="K67"/>
      <c r="L67"/>
    </row>
    <row r="68" spans="11:12" ht="16.05" customHeight="1">
      <c r="K68"/>
      <c r="L68"/>
    </row>
    <row r="69" spans="11:12" ht="16.05" customHeight="1">
      <c r="K69"/>
      <c r="L69"/>
    </row>
    <row r="70" spans="11:12" ht="16.05" customHeight="1">
      <c r="K70"/>
      <c r="L70"/>
    </row>
    <row r="71" spans="11:12" ht="16.05" customHeight="1">
      <c r="K71"/>
      <c r="L71"/>
    </row>
    <row r="72" spans="11:12" ht="16.05" customHeight="1">
      <c r="K72"/>
      <c r="L72"/>
    </row>
    <row r="73" spans="11:12" ht="16.05" customHeight="1">
      <c r="K73"/>
      <c r="L73"/>
    </row>
  </sheetData>
  <mergeCells count="18">
    <mergeCell ref="AD5:AD6"/>
    <mergeCell ref="AC5:AC6"/>
    <mergeCell ref="AA5:AB5"/>
    <mergeCell ref="Y5:Z5"/>
    <mergeCell ref="Y27:Z27"/>
    <mergeCell ref="AA27:AB27"/>
    <mergeCell ref="W5:X5"/>
    <mergeCell ref="U5:V5"/>
    <mergeCell ref="S5:T5"/>
    <mergeCell ref="Q5:R5"/>
    <mergeCell ref="M27:N27"/>
    <mergeCell ref="O27:P27"/>
    <mergeCell ref="Q27:R27"/>
    <mergeCell ref="S27:T27"/>
    <mergeCell ref="U27:V27"/>
    <mergeCell ref="W27:X27"/>
    <mergeCell ref="O5:P5"/>
    <mergeCell ref="M5:N5"/>
  </mergeCells>
  <conditionalFormatting pivot="1" sqref="M56:O56">
    <cfRule type="expression" dxfId="1" priority="1">
      <formula>LEFT(M$46,1)="%"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F06A91-60B1-4AF1-AC33-7CD41E56F0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</vt:lpstr>
      <vt:lpstr>Paramètres</vt:lpstr>
      <vt:lpstr>Tableau</vt:lpstr>
      <vt:lpstr>TCD</vt:lpstr>
      <vt:lpstr>AUTRES</vt:lpstr>
      <vt:lpstr>Gamme</vt:lpstr>
      <vt:lpstr>LOCAL</vt:lpstr>
      <vt:lpstr>SIQO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JoDan</cp:lastModifiedBy>
  <dcterms:created xsi:type="dcterms:W3CDTF">2021-04-21T07:54:09Z</dcterms:created>
  <dcterms:modified xsi:type="dcterms:W3CDTF">2021-04-29T00:45:13Z</dcterms:modified>
</cp:coreProperties>
</file>