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26EF494F-CDE4-470C-8C9F-1924D1E20667}" xr6:coauthVersionLast="45" xr6:coauthVersionMax="45" xr10:uidLastSave="{00000000-0000-0000-0000-000000000000}"/>
  <bookViews>
    <workbookView xWindow="-108" yWindow="-108" windowWidth="22320" windowHeight="12048" xr2:uid="{00000000-000D-0000-FFFF-FFFF00000000}"/>
  </bookViews>
  <sheets>
    <sheet name="Feuil1" sheetId="1" r:id="rId1"/>
    <sheet name="Feuil2" sheetId="2" r:id="rId2"/>
  </sheets>
  <definedNames>
    <definedName name="Années">Feuil2!$B$3:$B$28</definedName>
    <definedName name="fevrier">OFFSET(Feuil1!$N$12,0,0,COUNTIF(Feuil1!$M$12:$M$40,"&gt;0"))</definedName>
    <definedName name="reelFevrier">OFFSET(Feuil1!$T$12,0,0,COUNTIF(Feuil1!$M$12:$M$40,"&gt;0"))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12" i="1" l="1"/>
  <c r="T39" i="1" l="1"/>
  <c r="T38" i="1"/>
  <c r="T37" i="1"/>
  <c r="T36" i="1"/>
  <c r="T35" i="1"/>
  <c r="I29" i="1" l="1"/>
  <c r="I28" i="1"/>
  <c r="I27" i="1"/>
  <c r="I26" i="1"/>
  <c r="I25" i="1"/>
  <c r="I24" i="1"/>
  <c r="D29" i="1" l="1"/>
  <c r="O29" i="1" l="1"/>
  <c r="F68" i="1"/>
  <c r="F67" i="1"/>
  <c r="F66" i="1"/>
  <c r="F65" i="1"/>
  <c r="F64" i="1"/>
  <c r="F60" i="1"/>
  <c r="F58" i="1"/>
  <c r="F57" i="1"/>
  <c r="F59" i="1" l="1"/>
  <c r="F62" i="1"/>
  <c r="O39" i="1"/>
  <c r="O38" i="1"/>
  <c r="O37" i="1"/>
  <c r="O36" i="1"/>
  <c r="O35" i="1"/>
  <c r="O34" i="1"/>
  <c r="O33" i="1"/>
  <c r="O32" i="1"/>
  <c r="O31" i="1"/>
  <c r="O30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D42" i="1"/>
  <c r="I42" i="1" s="1"/>
  <c r="D41" i="1"/>
  <c r="G41" i="1" s="1"/>
  <c r="I41" i="1" s="1"/>
  <c r="D40" i="1"/>
  <c r="G40" i="1" s="1"/>
  <c r="I40" i="1" s="1"/>
  <c r="D39" i="1"/>
  <c r="G39" i="1" s="1"/>
  <c r="I39" i="1" s="1"/>
  <c r="D38" i="1"/>
  <c r="G38" i="1" s="1"/>
  <c r="I38" i="1" s="1"/>
  <c r="D37" i="1"/>
  <c r="G37" i="1" s="1"/>
  <c r="I37" i="1" s="1"/>
  <c r="D36" i="1"/>
  <c r="G36" i="1" s="1"/>
  <c r="I36" i="1" s="1"/>
  <c r="D35" i="1"/>
  <c r="I35" i="1" s="1"/>
  <c r="D34" i="1"/>
  <c r="G34" i="1" s="1"/>
  <c r="I34" i="1" s="1"/>
  <c r="D33" i="1"/>
  <c r="G33" i="1" s="1"/>
  <c r="I33" i="1" s="1"/>
  <c r="D32" i="1"/>
  <c r="G32" i="1" s="1"/>
  <c r="I32" i="1" s="1"/>
  <c r="D31" i="1"/>
  <c r="G31" i="1" s="1"/>
  <c r="I31" i="1" s="1"/>
  <c r="D30" i="1"/>
  <c r="G30" i="1" s="1"/>
  <c r="I30" i="1" s="1"/>
  <c r="D28" i="1"/>
  <c r="D27" i="1"/>
  <c r="D26" i="1"/>
  <c r="D25" i="1"/>
  <c r="D24" i="1"/>
  <c r="D23" i="1"/>
  <c r="G23" i="1" s="1"/>
  <c r="I23" i="1" s="1"/>
  <c r="D22" i="1"/>
  <c r="G22" i="1" s="1"/>
  <c r="I22" i="1" s="1"/>
  <c r="D21" i="1"/>
  <c r="I21" i="1" s="1"/>
  <c r="D20" i="1"/>
  <c r="G20" i="1" s="1"/>
  <c r="I20" i="1" s="1"/>
  <c r="D19" i="1"/>
  <c r="G19" i="1" s="1"/>
  <c r="I19" i="1" s="1"/>
  <c r="D18" i="1"/>
  <c r="G18" i="1" s="1"/>
  <c r="I18" i="1" s="1"/>
  <c r="D17" i="1"/>
  <c r="G17" i="1" s="1"/>
  <c r="I17" i="1" s="1"/>
  <c r="D16" i="1"/>
  <c r="G16" i="1" s="1"/>
  <c r="I16" i="1" s="1"/>
  <c r="D15" i="1"/>
  <c r="G15" i="1" s="1"/>
  <c r="I15" i="1" s="1"/>
  <c r="D14" i="1"/>
  <c r="I14" i="1" s="1"/>
  <c r="D13" i="1"/>
  <c r="G13" i="1" s="1"/>
  <c r="I13" i="1" s="1"/>
  <c r="F61" i="1" l="1"/>
  <c r="F63" i="1"/>
  <c r="DT12" i="1"/>
  <c r="DS12" i="1" s="1"/>
  <c r="DU12" i="1"/>
  <c r="DU13" i="1" s="1"/>
  <c r="DU14" i="1" s="1"/>
  <c r="DU15" i="1" s="1"/>
  <c r="DU16" i="1" s="1"/>
  <c r="DU17" i="1" s="1"/>
  <c r="DU18" i="1" s="1"/>
  <c r="DU19" i="1" s="1"/>
  <c r="DU20" i="1" s="1"/>
  <c r="DU21" i="1" s="1"/>
  <c r="DU22" i="1" s="1"/>
  <c r="DU23" i="1" s="1"/>
  <c r="DU24" i="1" s="1"/>
  <c r="DU25" i="1" s="1"/>
  <c r="DU26" i="1" s="1"/>
  <c r="DU27" i="1" s="1"/>
  <c r="DU28" i="1" s="1"/>
  <c r="DU29" i="1" s="1"/>
  <c r="DU30" i="1" s="1"/>
  <c r="DU31" i="1" s="1"/>
  <c r="DU32" i="1" s="1"/>
  <c r="DU33" i="1" s="1"/>
  <c r="DU34" i="1" s="1"/>
  <c r="DU35" i="1" s="1"/>
  <c r="DU36" i="1" s="1"/>
  <c r="DU37" i="1" s="1"/>
  <c r="DU38" i="1" s="1"/>
  <c r="DU39" i="1" s="1"/>
  <c r="DU40" i="1" s="1"/>
  <c r="DU41" i="1" s="1"/>
  <c r="DU42" i="1" s="1"/>
  <c r="DI12" i="1"/>
  <c r="DI13" i="1" s="1"/>
  <c r="DH13" i="1" s="1"/>
  <c r="DJ12" i="1"/>
  <c r="DJ13" i="1" s="1"/>
  <c r="DJ14" i="1" s="1"/>
  <c r="DJ15" i="1" s="1"/>
  <c r="DJ16" i="1" s="1"/>
  <c r="DJ17" i="1" s="1"/>
  <c r="DJ18" i="1" s="1"/>
  <c r="DJ19" i="1" s="1"/>
  <c r="DJ20" i="1" s="1"/>
  <c r="DJ21" i="1" s="1"/>
  <c r="DJ22" i="1" s="1"/>
  <c r="DJ23" i="1" s="1"/>
  <c r="DJ24" i="1" s="1"/>
  <c r="DJ25" i="1" s="1"/>
  <c r="DJ26" i="1" s="1"/>
  <c r="DJ27" i="1" s="1"/>
  <c r="DJ28" i="1" s="1"/>
  <c r="DJ29" i="1" s="1"/>
  <c r="DJ30" i="1" s="1"/>
  <c r="DJ31" i="1" s="1"/>
  <c r="DJ32" i="1" s="1"/>
  <c r="DJ33" i="1" s="1"/>
  <c r="DJ34" i="1" s="1"/>
  <c r="DJ35" i="1" s="1"/>
  <c r="DJ36" i="1" s="1"/>
  <c r="DJ37" i="1" s="1"/>
  <c r="DJ38" i="1" s="1"/>
  <c r="DJ39" i="1" s="1"/>
  <c r="DJ40" i="1" s="1"/>
  <c r="DJ41" i="1" s="1"/>
  <c r="CY12" i="1"/>
  <c r="CY13" i="1" s="1"/>
  <c r="CY14" i="1" s="1"/>
  <c r="CY15" i="1" s="1"/>
  <c r="CY16" i="1" s="1"/>
  <c r="CY17" i="1" s="1"/>
  <c r="CY18" i="1" s="1"/>
  <c r="CY19" i="1" s="1"/>
  <c r="CY20" i="1" s="1"/>
  <c r="CY21" i="1" s="1"/>
  <c r="CY22" i="1" s="1"/>
  <c r="CY23" i="1" s="1"/>
  <c r="CY24" i="1" s="1"/>
  <c r="CY25" i="1" s="1"/>
  <c r="CY26" i="1" s="1"/>
  <c r="CY27" i="1" s="1"/>
  <c r="CY28" i="1" s="1"/>
  <c r="CY29" i="1" s="1"/>
  <c r="CY30" i="1" s="1"/>
  <c r="CY31" i="1" s="1"/>
  <c r="CY32" i="1" s="1"/>
  <c r="CY33" i="1" s="1"/>
  <c r="CY34" i="1" s="1"/>
  <c r="CY35" i="1" s="1"/>
  <c r="CY36" i="1" s="1"/>
  <c r="CY37" i="1" s="1"/>
  <c r="CY38" i="1" s="1"/>
  <c r="CY39" i="1" s="1"/>
  <c r="CY40" i="1" s="1"/>
  <c r="CY41" i="1" s="1"/>
  <c r="CY42" i="1" s="1"/>
  <c r="CN12" i="1"/>
  <c r="CN13" i="1" s="1"/>
  <c r="CN14" i="1" s="1"/>
  <c r="CN15" i="1" s="1"/>
  <c r="CN16" i="1" s="1"/>
  <c r="CN17" i="1" s="1"/>
  <c r="CN18" i="1" s="1"/>
  <c r="CN19" i="1" s="1"/>
  <c r="CN20" i="1" s="1"/>
  <c r="CN21" i="1" s="1"/>
  <c r="CN22" i="1" s="1"/>
  <c r="CN23" i="1" s="1"/>
  <c r="CN24" i="1" s="1"/>
  <c r="CN25" i="1" s="1"/>
  <c r="CN26" i="1" s="1"/>
  <c r="CN27" i="1" s="1"/>
  <c r="CN28" i="1" s="1"/>
  <c r="CN29" i="1" s="1"/>
  <c r="CN30" i="1" s="1"/>
  <c r="CN31" i="1" s="1"/>
  <c r="CN32" i="1" s="1"/>
  <c r="CN33" i="1" s="1"/>
  <c r="CN34" i="1" s="1"/>
  <c r="CN35" i="1" s="1"/>
  <c r="CN36" i="1" s="1"/>
  <c r="CN37" i="1" s="1"/>
  <c r="CN38" i="1" s="1"/>
  <c r="CN39" i="1" s="1"/>
  <c r="CN40" i="1" s="1"/>
  <c r="CN41" i="1" s="1"/>
  <c r="CC12" i="1"/>
  <c r="CC13" i="1" s="1"/>
  <c r="CC14" i="1" s="1"/>
  <c r="CC15" i="1" s="1"/>
  <c r="CC16" i="1" s="1"/>
  <c r="CC17" i="1" s="1"/>
  <c r="CC18" i="1" s="1"/>
  <c r="CC19" i="1" s="1"/>
  <c r="CC20" i="1" s="1"/>
  <c r="CC21" i="1" s="1"/>
  <c r="CC22" i="1" s="1"/>
  <c r="CC23" i="1" s="1"/>
  <c r="CC24" i="1" s="1"/>
  <c r="CC25" i="1" s="1"/>
  <c r="CC26" i="1" s="1"/>
  <c r="CC27" i="1" s="1"/>
  <c r="CC28" i="1" s="1"/>
  <c r="CC29" i="1" s="1"/>
  <c r="CC30" i="1" s="1"/>
  <c r="CC31" i="1" s="1"/>
  <c r="CC32" i="1" s="1"/>
  <c r="CC33" i="1" s="1"/>
  <c r="CC34" i="1" s="1"/>
  <c r="CC35" i="1" s="1"/>
  <c r="CC36" i="1" s="1"/>
  <c r="CC37" i="1" s="1"/>
  <c r="CC38" i="1" s="1"/>
  <c r="CC39" i="1" s="1"/>
  <c r="CC40" i="1" s="1"/>
  <c r="CC41" i="1" s="1"/>
  <c r="CC42" i="1" s="1"/>
  <c r="BR12" i="1"/>
  <c r="BR13" i="1" s="1"/>
  <c r="BR14" i="1" s="1"/>
  <c r="BR15" i="1" s="1"/>
  <c r="BR16" i="1" s="1"/>
  <c r="BR17" i="1" s="1"/>
  <c r="BR18" i="1" s="1"/>
  <c r="BR19" i="1" s="1"/>
  <c r="BR20" i="1" s="1"/>
  <c r="BR21" i="1" s="1"/>
  <c r="BR22" i="1" s="1"/>
  <c r="BR23" i="1" s="1"/>
  <c r="BR24" i="1" s="1"/>
  <c r="BR25" i="1" s="1"/>
  <c r="BR26" i="1" s="1"/>
  <c r="BR27" i="1" s="1"/>
  <c r="BR28" i="1" s="1"/>
  <c r="BR29" i="1" s="1"/>
  <c r="BR30" i="1" s="1"/>
  <c r="BR31" i="1" s="1"/>
  <c r="BR32" i="1" s="1"/>
  <c r="BR33" i="1" s="1"/>
  <c r="BR34" i="1" s="1"/>
  <c r="BR35" i="1" s="1"/>
  <c r="BR36" i="1" s="1"/>
  <c r="BR37" i="1" s="1"/>
  <c r="BR38" i="1" s="1"/>
  <c r="BR39" i="1" s="1"/>
  <c r="BR40" i="1" s="1"/>
  <c r="BR41" i="1" s="1"/>
  <c r="BR42" i="1" s="1"/>
  <c r="BG12" i="1"/>
  <c r="BE12" i="1" s="1"/>
  <c r="BF10" i="1"/>
  <c r="AU12" i="1"/>
  <c r="AU13" i="1" s="1"/>
  <c r="AV12" i="1"/>
  <c r="AV13" i="1" s="1"/>
  <c r="AV14" i="1" s="1"/>
  <c r="AV15" i="1" s="1"/>
  <c r="AV16" i="1" s="1"/>
  <c r="AV17" i="1" s="1"/>
  <c r="AV18" i="1" s="1"/>
  <c r="AV19" i="1" s="1"/>
  <c r="AV20" i="1" s="1"/>
  <c r="AV21" i="1" s="1"/>
  <c r="AV22" i="1" s="1"/>
  <c r="AV23" i="1" s="1"/>
  <c r="AV24" i="1" s="1"/>
  <c r="AV25" i="1" s="1"/>
  <c r="AV26" i="1" s="1"/>
  <c r="AV27" i="1" s="1"/>
  <c r="AV28" i="1" s="1"/>
  <c r="AV29" i="1" s="1"/>
  <c r="AV30" i="1" s="1"/>
  <c r="AV31" i="1" s="1"/>
  <c r="AV32" i="1" s="1"/>
  <c r="AV33" i="1" s="1"/>
  <c r="AV34" i="1" s="1"/>
  <c r="AV35" i="1" s="1"/>
  <c r="AV36" i="1" s="1"/>
  <c r="AV37" i="1" s="1"/>
  <c r="AV38" i="1" s="1"/>
  <c r="AV39" i="1" s="1"/>
  <c r="AV40" i="1" s="1"/>
  <c r="AV41" i="1" s="1"/>
  <c r="AV42" i="1" s="1"/>
  <c r="AJ12" i="1"/>
  <c r="AJ13" i="1" s="1"/>
  <c r="AE42" i="1"/>
  <c r="AK12" i="1"/>
  <c r="AK13" i="1" s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AK38" i="1" s="1"/>
  <c r="AK39" i="1" s="1"/>
  <c r="AK40" i="1" s="1"/>
  <c r="AK41" i="1" s="1"/>
  <c r="O40" i="1"/>
  <c r="C10" i="1"/>
  <c r="DT10" i="1"/>
  <c r="DI10" i="1"/>
  <c r="CX10" i="1"/>
  <c r="CM10" i="1"/>
  <c r="CB10" i="1"/>
  <c r="DX12" i="1"/>
  <c r="DZ12" i="1" s="1"/>
  <c r="DX13" i="1"/>
  <c r="DZ13" i="1" s="1"/>
  <c r="DX14" i="1"/>
  <c r="DZ14" i="1" s="1"/>
  <c r="DX15" i="1"/>
  <c r="DZ15" i="1" s="1"/>
  <c r="DX16" i="1"/>
  <c r="DZ16" i="1" s="1"/>
  <c r="DX17" i="1"/>
  <c r="DZ17" i="1" s="1"/>
  <c r="DX18" i="1"/>
  <c r="DZ18" i="1" s="1"/>
  <c r="DX19" i="1"/>
  <c r="DZ19" i="1" s="1"/>
  <c r="DX20" i="1"/>
  <c r="DZ20" i="1" s="1"/>
  <c r="DX21" i="1"/>
  <c r="DZ21" i="1" s="1"/>
  <c r="DX22" i="1"/>
  <c r="DZ22" i="1" s="1"/>
  <c r="DX23" i="1"/>
  <c r="DZ23" i="1" s="1"/>
  <c r="DX24" i="1"/>
  <c r="DZ24" i="1" s="1"/>
  <c r="DX25" i="1"/>
  <c r="DZ25" i="1" s="1"/>
  <c r="DX26" i="1"/>
  <c r="DZ26" i="1" s="1"/>
  <c r="DX27" i="1"/>
  <c r="DZ27" i="1" s="1"/>
  <c r="DX28" i="1"/>
  <c r="DZ28" i="1" s="1"/>
  <c r="DX29" i="1"/>
  <c r="DZ29" i="1" s="1"/>
  <c r="DX30" i="1"/>
  <c r="DZ30" i="1" s="1"/>
  <c r="DX31" i="1"/>
  <c r="DZ31" i="1" s="1"/>
  <c r="DX32" i="1"/>
  <c r="DZ32" i="1" s="1"/>
  <c r="DX33" i="1"/>
  <c r="DZ33" i="1" s="1"/>
  <c r="DX34" i="1"/>
  <c r="DZ34" i="1" s="1"/>
  <c r="DX35" i="1"/>
  <c r="DZ35" i="1" s="1"/>
  <c r="DX36" i="1"/>
  <c r="DZ36" i="1" s="1"/>
  <c r="DX37" i="1"/>
  <c r="DZ37" i="1" s="1"/>
  <c r="DX38" i="1"/>
  <c r="DZ38" i="1" s="1"/>
  <c r="DX39" i="1"/>
  <c r="DZ39" i="1" s="1"/>
  <c r="DX40" i="1"/>
  <c r="DZ40" i="1" s="1"/>
  <c r="DX41" i="1"/>
  <c r="DZ41" i="1" s="1"/>
  <c r="DX42" i="1"/>
  <c r="DZ42" i="1" s="1"/>
  <c r="CF12" i="1"/>
  <c r="CH12" i="1" s="1"/>
  <c r="CQ12" i="1"/>
  <c r="CS12" i="1" s="1"/>
  <c r="DB12" i="1"/>
  <c r="DD12" i="1" s="1"/>
  <c r="DM12" i="1"/>
  <c r="DO12" i="1" s="1"/>
  <c r="CF13" i="1"/>
  <c r="CH13" i="1" s="1"/>
  <c r="CQ13" i="1"/>
  <c r="CS13" i="1" s="1"/>
  <c r="DB13" i="1"/>
  <c r="DD13" i="1" s="1"/>
  <c r="DM13" i="1"/>
  <c r="DO13" i="1" s="1"/>
  <c r="CF14" i="1"/>
  <c r="CH14" i="1" s="1"/>
  <c r="CQ14" i="1"/>
  <c r="CS14" i="1" s="1"/>
  <c r="DB14" i="1"/>
  <c r="DD14" i="1" s="1"/>
  <c r="DM14" i="1"/>
  <c r="DO14" i="1" s="1"/>
  <c r="CF15" i="1"/>
  <c r="CH15" i="1" s="1"/>
  <c r="CQ15" i="1"/>
  <c r="CS15" i="1" s="1"/>
  <c r="DB15" i="1"/>
  <c r="DD15" i="1" s="1"/>
  <c r="DM15" i="1"/>
  <c r="DO15" i="1"/>
  <c r="CF16" i="1"/>
  <c r="CH16" i="1" s="1"/>
  <c r="CQ16" i="1"/>
  <c r="CS16" i="1" s="1"/>
  <c r="DB16" i="1"/>
  <c r="DD16" i="1" s="1"/>
  <c r="DM16" i="1"/>
  <c r="DO16" i="1" s="1"/>
  <c r="CF17" i="1"/>
  <c r="CH17" i="1" s="1"/>
  <c r="CQ17" i="1"/>
  <c r="CS17" i="1" s="1"/>
  <c r="DB17" i="1"/>
  <c r="DD17" i="1" s="1"/>
  <c r="DM17" i="1"/>
  <c r="DO17" i="1" s="1"/>
  <c r="CF18" i="1"/>
  <c r="CH18" i="1" s="1"/>
  <c r="CQ18" i="1"/>
  <c r="CS18" i="1" s="1"/>
  <c r="DB18" i="1"/>
  <c r="DD18" i="1" s="1"/>
  <c r="DM18" i="1"/>
  <c r="DO18" i="1" s="1"/>
  <c r="CF19" i="1"/>
  <c r="CH19" i="1" s="1"/>
  <c r="CQ19" i="1"/>
  <c r="CS19" i="1" s="1"/>
  <c r="DB19" i="1"/>
  <c r="DD19" i="1" s="1"/>
  <c r="DM19" i="1"/>
  <c r="DO19" i="1" s="1"/>
  <c r="CF20" i="1"/>
  <c r="CH20" i="1" s="1"/>
  <c r="CQ20" i="1"/>
  <c r="CS20" i="1" s="1"/>
  <c r="DB20" i="1"/>
  <c r="DD20" i="1" s="1"/>
  <c r="DM20" i="1"/>
  <c r="DO20" i="1" s="1"/>
  <c r="CF21" i="1"/>
  <c r="CH21" i="1" s="1"/>
  <c r="CQ21" i="1"/>
  <c r="CS21" i="1" s="1"/>
  <c r="DB21" i="1"/>
  <c r="DD21" i="1" s="1"/>
  <c r="DM21" i="1"/>
  <c r="DO21" i="1" s="1"/>
  <c r="CF22" i="1"/>
  <c r="CH22" i="1" s="1"/>
  <c r="CQ22" i="1"/>
  <c r="CS22" i="1" s="1"/>
  <c r="DB22" i="1"/>
  <c r="DD22" i="1" s="1"/>
  <c r="DM22" i="1"/>
  <c r="DO22" i="1" s="1"/>
  <c r="CF23" i="1"/>
  <c r="CH23" i="1" s="1"/>
  <c r="CQ23" i="1"/>
  <c r="CS23" i="1" s="1"/>
  <c r="DB23" i="1"/>
  <c r="DD23" i="1" s="1"/>
  <c r="DM23" i="1"/>
  <c r="DO23" i="1" s="1"/>
  <c r="CF24" i="1"/>
  <c r="CH24" i="1" s="1"/>
  <c r="CQ24" i="1"/>
  <c r="CS24" i="1" s="1"/>
  <c r="DB24" i="1"/>
  <c r="DD24" i="1" s="1"/>
  <c r="DM24" i="1"/>
  <c r="DO24" i="1" s="1"/>
  <c r="CF25" i="1"/>
  <c r="CH25" i="1" s="1"/>
  <c r="CQ25" i="1"/>
  <c r="CS25" i="1" s="1"/>
  <c r="DB25" i="1"/>
  <c r="DD25" i="1" s="1"/>
  <c r="DM25" i="1"/>
  <c r="DO25" i="1" s="1"/>
  <c r="CF26" i="1"/>
  <c r="CH26" i="1" s="1"/>
  <c r="CQ26" i="1"/>
  <c r="CS26" i="1"/>
  <c r="DB26" i="1"/>
  <c r="DD26" i="1" s="1"/>
  <c r="DM26" i="1"/>
  <c r="DO26" i="1" s="1"/>
  <c r="CF27" i="1"/>
  <c r="CH27" i="1" s="1"/>
  <c r="CQ27" i="1"/>
  <c r="CS27" i="1" s="1"/>
  <c r="DB27" i="1"/>
  <c r="DD27" i="1" s="1"/>
  <c r="DM27" i="1"/>
  <c r="DO27" i="1" s="1"/>
  <c r="CF28" i="1"/>
  <c r="CH28" i="1" s="1"/>
  <c r="CQ28" i="1"/>
  <c r="CS28" i="1" s="1"/>
  <c r="DB28" i="1"/>
  <c r="DD28" i="1" s="1"/>
  <c r="DM28" i="1"/>
  <c r="DO28" i="1" s="1"/>
  <c r="CF29" i="1"/>
  <c r="CH29" i="1" s="1"/>
  <c r="CQ29" i="1"/>
  <c r="CS29" i="1" s="1"/>
  <c r="DB29" i="1"/>
  <c r="DD29" i="1" s="1"/>
  <c r="DM29" i="1"/>
  <c r="DO29" i="1" s="1"/>
  <c r="CF30" i="1"/>
  <c r="CH30" i="1" s="1"/>
  <c r="CQ30" i="1"/>
  <c r="CS30" i="1" s="1"/>
  <c r="DB30" i="1"/>
  <c r="DD30" i="1" s="1"/>
  <c r="DM30" i="1"/>
  <c r="DO30" i="1" s="1"/>
  <c r="CF31" i="1"/>
  <c r="CH31" i="1" s="1"/>
  <c r="CQ31" i="1"/>
  <c r="CS31" i="1" s="1"/>
  <c r="DB31" i="1"/>
  <c r="DD31" i="1" s="1"/>
  <c r="DM31" i="1"/>
  <c r="DO31" i="1" s="1"/>
  <c r="CF32" i="1"/>
  <c r="CH32" i="1" s="1"/>
  <c r="CQ32" i="1"/>
  <c r="CS32" i="1" s="1"/>
  <c r="DB32" i="1"/>
  <c r="DD32" i="1" s="1"/>
  <c r="DM32" i="1"/>
  <c r="DO32" i="1" s="1"/>
  <c r="CF33" i="1"/>
  <c r="CH33" i="1" s="1"/>
  <c r="CQ33" i="1"/>
  <c r="CS33" i="1" s="1"/>
  <c r="DB33" i="1"/>
  <c r="DD33" i="1" s="1"/>
  <c r="DM33" i="1"/>
  <c r="DO33" i="1" s="1"/>
  <c r="CF34" i="1"/>
  <c r="CH34" i="1" s="1"/>
  <c r="CQ34" i="1"/>
  <c r="CS34" i="1" s="1"/>
  <c r="DB34" i="1"/>
  <c r="DD34" i="1" s="1"/>
  <c r="DM34" i="1"/>
  <c r="DO34" i="1" s="1"/>
  <c r="CF35" i="1"/>
  <c r="CH35" i="1" s="1"/>
  <c r="CQ35" i="1"/>
  <c r="CS35" i="1" s="1"/>
  <c r="DB35" i="1"/>
  <c r="DD35" i="1" s="1"/>
  <c r="DM35" i="1"/>
  <c r="DO35" i="1" s="1"/>
  <c r="CF36" i="1"/>
  <c r="CH36" i="1" s="1"/>
  <c r="CQ36" i="1"/>
  <c r="CS36" i="1" s="1"/>
  <c r="DB36" i="1"/>
  <c r="DD36" i="1" s="1"/>
  <c r="DM36" i="1"/>
  <c r="DO36" i="1" s="1"/>
  <c r="CF37" i="1"/>
  <c r="CH37" i="1" s="1"/>
  <c r="CQ37" i="1"/>
  <c r="CS37" i="1" s="1"/>
  <c r="DB37" i="1"/>
  <c r="DD37" i="1" s="1"/>
  <c r="DM37" i="1"/>
  <c r="DO37" i="1" s="1"/>
  <c r="CF38" i="1"/>
  <c r="CH38" i="1" s="1"/>
  <c r="CQ38" i="1"/>
  <c r="CS38" i="1" s="1"/>
  <c r="DB38" i="1"/>
  <c r="DD38" i="1" s="1"/>
  <c r="DM38" i="1"/>
  <c r="DO38" i="1" s="1"/>
  <c r="CF39" i="1"/>
  <c r="CH39" i="1" s="1"/>
  <c r="CQ39" i="1"/>
  <c r="CS39" i="1"/>
  <c r="DB39" i="1"/>
  <c r="DD39" i="1" s="1"/>
  <c r="DM39" i="1"/>
  <c r="DO39" i="1" s="1"/>
  <c r="CF40" i="1"/>
  <c r="CH40" i="1" s="1"/>
  <c r="CQ40" i="1"/>
  <c r="CS40" i="1" s="1"/>
  <c r="DB40" i="1"/>
  <c r="DD40" i="1" s="1"/>
  <c r="DM40" i="1"/>
  <c r="DO40" i="1" s="1"/>
  <c r="CF41" i="1"/>
  <c r="CH41" i="1" s="1"/>
  <c r="CQ41" i="1"/>
  <c r="CS41" i="1" s="1"/>
  <c r="DB41" i="1"/>
  <c r="DD41" i="1" s="1"/>
  <c r="DM41" i="1"/>
  <c r="DO41" i="1" s="1"/>
  <c r="CF42" i="1"/>
  <c r="CH42" i="1" s="1"/>
  <c r="DB42" i="1"/>
  <c r="DD42" i="1" s="1"/>
  <c r="BQ10" i="1"/>
  <c r="BJ12" i="1"/>
  <c r="BL12" i="1" s="1"/>
  <c r="BU12" i="1"/>
  <c r="BW12" i="1" s="1"/>
  <c r="BJ13" i="1"/>
  <c r="BL13" i="1" s="1"/>
  <c r="BU13" i="1"/>
  <c r="BW13" i="1" s="1"/>
  <c r="BJ14" i="1"/>
  <c r="BL14" i="1" s="1"/>
  <c r="BU14" i="1"/>
  <c r="BW14" i="1" s="1"/>
  <c r="BJ15" i="1"/>
  <c r="BL15" i="1" s="1"/>
  <c r="BU15" i="1"/>
  <c r="BW15" i="1" s="1"/>
  <c r="BJ16" i="1"/>
  <c r="BL16" i="1" s="1"/>
  <c r="BU16" i="1"/>
  <c r="BW16" i="1" s="1"/>
  <c r="BJ17" i="1"/>
  <c r="BL17" i="1" s="1"/>
  <c r="BU17" i="1"/>
  <c r="BW17" i="1" s="1"/>
  <c r="BJ18" i="1"/>
  <c r="BL18" i="1" s="1"/>
  <c r="BU18" i="1"/>
  <c r="BW18" i="1" s="1"/>
  <c r="BJ19" i="1"/>
  <c r="BL19" i="1" s="1"/>
  <c r="BU19" i="1"/>
  <c r="BW19" i="1" s="1"/>
  <c r="BJ20" i="1"/>
  <c r="BL20" i="1" s="1"/>
  <c r="BU20" i="1"/>
  <c r="BW20" i="1" s="1"/>
  <c r="BJ21" i="1"/>
  <c r="BL21" i="1" s="1"/>
  <c r="BU21" i="1"/>
  <c r="BW21" i="1" s="1"/>
  <c r="BJ22" i="1"/>
  <c r="BL22" i="1" s="1"/>
  <c r="BU22" i="1"/>
  <c r="BW22" i="1" s="1"/>
  <c r="BJ23" i="1"/>
  <c r="BL23" i="1" s="1"/>
  <c r="BU23" i="1"/>
  <c r="BW23" i="1" s="1"/>
  <c r="BJ24" i="1"/>
  <c r="BL24" i="1" s="1"/>
  <c r="BU24" i="1"/>
  <c r="BW24" i="1" s="1"/>
  <c r="BJ25" i="1"/>
  <c r="BL25" i="1" s="1"/>
  <c r="BU25" i="1"/>
  <c r="BW25" i="1" s="1"/>
  <c r="BJ26" i="1"/>
  <c r="BL26" i="1" s="1"/>
  <c r="BU26" i="1"/>
  <c r="BW26" i="1" s="1"/>
  <c r="BJ27" i="1"/>
  <c r="BL27" i="1" s="1"/>
  <c r="BU27" i="1"/>
  <c r="BW27" i="1" s="1"/>
  <c r="BJ28" i="1"/>
  <c r="BL28" i="1" s="1"/>
  <c r="BU28" i="1"/>
  <c r="BW28" i="1" s="1"/>
  <c r="BJ29" i="1"/>
  <c r="BL29" i="1" s="1"/>
  <c r="BU29" i="1"/>
  <c r="BW29" i="1" s="1"/>
  <c r="BJ30" i="1"/>
  <c r="BL30" i="1" s="1"/>
  <c r="BU30" i="1"/>
  <c r="BW30" i="1" s="1"/>
  <c r="BJ31" i="1"/>
  <c r="BL31" i="1" s="1"/>
  <c r="BU31" i="1"/>
  <c r="BW31" i="1" s="1"/>
  <c r="BJ32" i="1"/>
  <c r="BL32" i="1" s="1"/>
  <c r="BU32" i="1"/>
  <c r="BW32" i="1" s="1"/>
  <c r="BJ33" i="1"/>
  <c r="BL33" i="1" s="1"/>
  <c r="BU33" i="1"/>
  <c r="BW33" i="1" s="1"/>
  <c r="BJ34" i="1"/>
  <c r="BL34" i="1" s="1"/>
  <c r="BU34" i="1"/>
  <c r="BW34" i="1" s="1"/>
  <c r="BJ35" i="1"/>
  <c r="BL35" i="1" s="1"/>
  <c r="BU35" i="1"/>
  <c r="BW35" i="1" s="1"/>
  <c r="BJ36" i="1"/>
  <c r="BL36" i="1" s="1"/>
  <c r="BU36" i="1"/>
  <c r="BW36" i="1" s="1"/>
  <c r="BJ37" i="1"/>
  <c r="BL37" i="1" s="1"/>
  <c r="BU37" i="1"/>
  <c r="BW37" i="1" s="1"/>
  <c r="BJ38" i="1"/>
  <c r="BL38" i="1" s="1"/>
  <c r="BU38" i="1"/>
  <c r="BW38" i="1" s="1"/>
  <c r="BJ39" i="1"/>
  <c r="BL39" i="1" s="1"/>
  <c r="BU39" i="1"/>
  <c r="BW39" i="1" s="1"/>
  <c r="BJ40" i="1"/>
  <c r="BL40" i="1" s="1"/>
  <c r="BU40" i="1"/>
  <c r="BW40" i="1" s="1"/>
  <c r="BJ41" i="1"/>
  <c r="BL41" i="1" s="1"/>
  <c r="BU41" i="1"/>
  <c r="BW41" i="1" s="1"/>
  <c r="BU42" i="1"/>
  <c r="BW42" i="1" s="1"/>
  <c r="AU10" i="1"/>
  <c r="AY42" i="1"/>
  <c r="BA42" i="1" s="1"/>
  <c r="AY41" i="1"/>
  <c r="BA41" i="1" s="1"/>
  <c r="AY40" i="1"/>
  <c r="BA40" i="1" s="1"/>
  <c r="AY39" i="1"/>
  <c r="BA39" i="1" s="1"/>
  <c r="AY38" i="1"/>
  <c r="BA38" i="1" s="1"/>
  <c r="AY37" i="1"/>
  <c r="BA37" i="1" s="1"/>
  <c r="AY36" i="1"/>
  <c r="BA36" i="1" s="1"/>
  <c r="AY35" i="1"/>
  <c r="BA35" i="1" s="1"/>
  <c r="AY34" i="1"/>
  <c r="BA34" i="1" s="1"/>
  <c r="AY33" i="1"/>
  <c r="BA33" i="1" s="1"/>
  <c r="AY32" i="1"/>
  <c r="BA32" i="1" s="1"/>
  <c r="AY31" i="1"/>
  <c r="BA31" i="1" s="1"/>
  <c r="AY30" i="1"/>
  <c r="BA30" i="1" s="1"/>
  <c r="AY29" i="1"/>
  <c r="BA29" i="1" s="1"/>
  <c r="AY28" i="1"/>
  <c r="BA28" i="1" s="1"/>
  <c r="AY27" i="1"/>
  <c r="BA27" i="1" s="1"/>
  <c r="AY26" i="1"/>
  <c r="BA26" i="1" s="1"/>
  <c r="AY25" i="1"/>
  <c r="BA25" i="1" s="1"/>
  <c r="AY24" i="1"/>
  <c r="BA24" i="1" s="1"/>
  <c r="AY23" i="1"/>
  <c r="BA23" i="1" s="1"/>
  <c r="AY22" i="1"/>
  <c r="BA22" i="1" s="1"/>
  <c r="AY21" i="1"/>
  <c r="BA21" i="1" s="1"/>
  <c r="AY20" i="1"/>
  <c r="BA20" i="1" s="1"/>
  <c r="AY19" i="1"/>
  <c r="BA19" i="1" s="1"/>
  <c r="AY18" i="1"/>
  <c r="BA18" i="1" s="1"/>
  <c r="AY17" i="1"/>
  <c r="BA17" i="1" s="1"/>
  <c r="AY16" i="1"/>
  <c r="BA16" i="1" s="1"/>
  <c r="AY15" i="1"/>
  <c r="BA15" i="1" s="1"/>
  <c r="AY14" i="1"/>
  <c r="BA14" i="1" s="1"/>
  <c r="AY13" i="1"/>
  <c r="BA13" i="1" s="1"/>
  <c r="AY12" i="1"/>
  <c r="BA12" i="1" s="1"/>
  <c r="AJ10" i="1"/>
  <c r="Y10" i="1"/>
  <c r="N10" i="1"/>
  <c r="AN41" i="1"/>
  <c r="AP41" i="1" s="1"/>
  <c r="AN40" i="1"/>
  <c r="AP40" i="1" s="1"/>
  <c r="AN39" i="1"/>
  <c r="AP39" i="1" s="1"/>
  <c r="AN38" i="1"/>
  <c r="AP38" i="1" s="1"/>
  <c r="AN37" i="1"/>
  <c r="AP37" i="1" s="1"/>
  <c r="AN36" i="1"/>
  <c r="AP36" i="1" s="1"/>
  <c r="AN35" i="1"/>
  <c r="AP35" i="1" s="1"/>
  <c r="AN34" i="1"/>
  <c r="AP34" i="1" s="1"/>
  <c r="AN33" i="1"/>
  <c r="AP33" i="1" s="1"/>
  <c r="AN32" i="1"/>
  <c r="AP32" i="1" s="1"/>
  <c r="AN31" i="1"/>
  <c r="AP31" i="1" s="1"/>
  <c r="AN30" i="1"/>
  <c r="AP30" i="1" s="1"/>
  <c r="AN29" i="1"/>
  <c r="AP29" i="1" s="1"/>
  <c r="AN28" i="1"/>
  <c r="AP28" i="1" s="1"/>
  <c r="AN27" i="1"/>
  <c r="AP27" i="1" s="1"/>
  <c r="AN26" i="1"/>
  <c r="AP26" i="1" s="1"/>
  <c r="AN25" i="1"/>
  <c r="AP25" i="1" s="1"/>
  <c r="AN24" i="1"/>
  <c r="AP24" i="1" s="1"/>
  <c r="AN23" i="1"/>
  <c r="AP23" i="1" s="1"/>
  <c r="AN22" i="1"/>
  <c r="AP22" i="1" s="1"/>
  <c r="AN21" i="1"/>
  <c r="AP21" i="1" s="1"/>
  <c r="AN20" i="1"/>
  <c r="AP20" i="1" s="1"/>
  <c r="AN19" i="1"/>
  <c r="AP19" i="1" s="1"/>
  <c r="AN18" i="1"/>
  <c r="AP18" i="1" s="1"/>
  <c r="AN17" i="1"/>
  <c r="AP17" i="1" s="1"/>
  <c r="AN16" i="1"/>
  <c r="AP16" i="1" s="1"/>
  <c r="AN15" i="1"/>
  <c r="AP15" i="1" s="1"/>
  <c r="AN14" i="1"/>
  <c r="AP14" i="1" s="1"/>
  <c r="AN13" i="1"/>
  <c r="AP13" i="1" s="1"/>
  <c r="AN12" i="1"/>
  <c r="AP12" i="1" s="1"/>
  <c r="CI39" i="1" l="1"/>
  <c r="CJ39" i="1" s="1"/>
  <c r="BG13" i="1"/>
  <c r="BG14" i="1" s="1"/>
  <c r="BG15" i="1" s="1"/>
  <c r="BG16" i="1" s="1"/>
  <c r="BG17" i="1" s="1"/>
  <c r="BG18" i="1" s="1"/>
  <c r="BG19" i="1" s="1"/>
  <c r="BG20" i="1" s="1"/>
  <c r="BG21" i="1" s="1"/>
  <c r="BG22" i="1" s="1"/>
  <c r="BG23" i="1" s="1"/>
  <c r="BG24" i="1" s="1"/>
  <c r="BG25" i="1" s="1"/>
  <c r="BG26" i="1" s="1"/>
  <c r="BG27" i="1" s="1"/>
  <c r="BG28" i="1" s="1"/>
  <c r="BG29" i="1" s="1"/>
  <c r="BG30" i="1" s="1"/>
  <c r="BG31" i="1" s="1"/>
  <c r="BG32" i="1" s="1"/>
  <c r="BG33" i="1" s="1"/>
  <c r="BG34" i="1" s="1"/>
  <c r="BG35" i="1" s="1"/>
  <c r="BG36" i="1" s="1"/>
  <c r="BG37" i="1" s="1"/>
  <c r="BG38" i="1" s="1"/>
  <c r="BG39" i="1" s="1"/>
  <c r="BG40" i="1" s="1"/>
  <c r="BG41" i="1" s="1"/>
  <c r="DE25" i="1"/>
  <c r="DF25" i="1" s="1"/>
  <c r="CB12" i="1"/>
  <c r="CA12" i="1" s="1"/>
  <c r="BQ12" i="1"/>
  <c r="CM12" i="1"/>
  <c r="CM13" i="1" s="1"/>
  <c r="CL13" i="1" s="1"/>
  <c r="CX12" i="1"/>
  <c r="CW12" i="1" s="1"/>
  <c r="BF12" i="1"/>
  <c r="BF13" i="1" s="1"/>
  <c r="DT13" i="1"/>
  <c r="DS13" i="1" s="1"/>
  <c r="DH12" i="1"/>
  <c r="DI14" i="1"/>
  <c r="DP39" i="1"/>
  <c r="DQ39" i="1" s="1"/>
  <c r="BB18" i="1"/>
  <c r="BC18" i="1" s="1"/>
  <c r="CT12" i="1"/>
  <c r="CU12" i="1" s="1"/>
  <c r="AQ39" i="1"/>
  <c r="AR39" i="1" s="1"/>
  <c r="EA39" i="1"/>
  <c r="EB39" i="1" s="1"/>
  <c r="BM12" i="1"/>
  <c r="BN12" i="1" s="1"/>
  <c r="BM18" i="1"/>
  <c r="BN18" i="1" s="1"/>
  <c r="DE32" i="1"/>
  <c r="DF32" i="1" s="1"/>
  <c r="BM32" i="1"/>
  <c r="BN32" i="1" s="1"/>
  <c r="DE18" i="1"/>
  <c r="DF18" i="1" s="1"/>
  <c r="DE12" i="1"/>
  <c r="DF12" i="1" s="1"/>
  <c r="EA32" i="1"/>
  <c r="EB32" i="1" s="1"/>
  <c r="EA25" i="1"/>
  <c r="EB25" i="1" s="1"/>
  <c r="EA12" i="1"/>
  <c r="EB12" i="1" s="1"/>
  <c r="EA18" i="1"/>
  <c r="EB18" i="1" s="1"/>
  <c r="CT39" i="1"/>
  <c r="CU39" i="1" s="1"/>
  <c r="CT32" i="1"/>
  <c r="CU32" i="1" s="1"/>
  <c r="CI32" i="1"/>
  <c r="CJ32" i="1" s="1"/>
  <c r="DE39" i="1"/>
  <c r="DF39" i="1" s="1"/>
  <c r="CI18" i="1"/>
  <c r="CJ18" i="1" s="1"/>
  <c r="DP32" i="1"/>
  <c r="DQ32" i="1" s="1"/>
  <c r="CT18" i="1"/>
  <c r="CU18" i="1" s="1"/>
  <c r="CI12" i="1"/>
  <c r="CJ12" i="1" s="1"/>
  <c r="CT25" i="1"/>
  <c r="CU25" i="1" s="1"/>
  <c r="CI25" i="1"/>
  <c r="CJ25" i="1" s="1"/>
  <c r="DP25" i="1"/>
  <c r="DQ25" i="1" s="1"/>
  <c r="DP18" i="1"/>
  <c r="DQ18" i="1" s="1"/>
  <c r="DP12" i="1"/>
  <c r="DQ12" i="1" s="1"/>
  <c r="BX39" i="1"/>
  <c r="BY39" i="1" s="1"/>
  <c r="BX18" i="1"/>
  <c r="BY18" i="1" s="1"/>
  <c r="BX12" i="1"/>
  <c r="BY12" i="1" s="1"/>
  <c r="BM39" i="1"/>
  <c r="BN39" i="1" s="1"/>
  <c r="BX32" i="1"/>
  <c r="BY32" i="1" s="1"/>
  <c r="BM25" i="1"/>
  <c r="BN25" i="1" s="1"/>
  <c r="BX25" i="1"/>
  <c r="BY25" i="1" s="1"/>
  <c r="BB39" i="1"/>
  <c r="BC39" i="1" s="1"/>
  <c r="BB12" i="1"/>
  <c r="BC12" i="1" s="1"/>
  <c r="BB25" i="1"/>
  <c r="BC25" i="1" s="1"/>
  <c r="BB32" i="1"/>
  <c r="BC32" i="1" s="1"/>
  <c r="AT13" i="1"/>
  <c r="AU14" i="1"/>
  <c r="AT12" i="1"/>
  <c r="AQ12" i="1"/>
  <c r="AR12" i="1" s="1"/>
  <c r="AQ25" i="1"/>
  <c r="AR25" i="1" s="1"/>
  <c r="AQ32" i="1"/>
  <c r="AR32" i="1" s="1"/>
  <c r="AJ14" i="1"/>
  <c r="AI13" i="1"/>
  <c r="AQ18" i="1"/>
  <c r="AR18" i="1" s="1"/>
  <c r="AI12" i="1"/>
  <c r="Z12" i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Z40" i="1" s="1"/>
  <c r="Z41" i="1" s="1"/>
  <c r="Z42" i="1" s="1"/>
  <c r="Y12" i="1"/>
  <c r="Y13" i="1" s="1"/>
  <c r="AF13" i="1" s="1"/>
  <c r="AE41" i="1"/>
  <c r="AC40" i="1"/>
  <c r="AE40" i="1" s="1"/>
  <c r="AE39" i="1"/>
  <c r="AE38" i="1"/>
  <c r="AE37" i="1"/>
  <c r="AE36" i="1"/>
  <c r="AE35" i="1"/>
  <c r="AE34" i="1"/>
  <c r="AC33" i="1"/>
  <c r="AE33" i="1" s="1"/>
  <c r="AE32" i="1"/>
  <c r="AE31" i="1"/>
  <c r="AE30" i="1"/>
  <c r="AE29" i="1"/>
  <c r="AE28" i="1"/>
  <c r="AE27" i="1"/>
  <c r="AC26" i="1"/>
  <c r="AE26" i="1" s="1"/>
  <c r="AE25" i="1"/>
  <c r="AE24" i="1"/>
  <c r="AE23" i="1"/>
  <c r="AE22" i="1"/>
  <c r="AE21" i="1"/>
  <c r="AE20" i="1"/>
  <c r="AC19" i="1"/>
  <c r="AE19" i="1" s="1"/>
  <c r="AE18" i="1"/>
  <c r="AE17" i="1"/>
  <c r="AE16" i="1"/>
  <c r="AE15" i="1"/>
  <c r="AE14" i="1"/>
  <c r="AE13" i="1"/>
  <c r="AE12" i="1"/>
  <c r="N12" i="1"/>
  <c r="U12" i="1" s="1"/>
  <c r="T34" i="1"/>
  <c r="T33" i="1"/>
  <c r="T32" i="1"/>
  <c r="T31" i="1"/>
  <c r="T30" i="1"/>
  <c r="T29" i="1"/>
  <c r="T28" i="1"/>
  <c r="T27" i="1"/>
  <c r="T26" i="1"/>
  <c r="T25" i="1"/>
  <c r="T24" i="1"/>
  <c r="T23" i="1"/>
  <c r="T22" i="1"/>
  <c r="T21" i="1"/>
  <c r="T20" i="1"/>
  <c r="T19" i="1"/>
  <c r="T18" i="1"/>
  <c r="T17" i="1"/>
  <c r="T16" i="1"/>
  <c r="T15" i="1"/>
  <c r="T14" i="1"/>
  <c r="T13" i="1"/>
  <c r="T12" i="1"/>
  <c r="C12" i="1"/>
  <c r="D12" i="1"/>
  <c r="G12" i="1" s="1"/>
  <c r="I12" i="1" s="1"/>
  <c r="H16" i="2"/>
  <c r="N13" i="1" l="1"/>
  <c r="DT14" i="1"/>
  <c r="DS14" i="1" s="1"/>
  <c r="C13" i="1"/>
  <c r="CB13" i="1"/>
  <c r="CA13" i="1" s="1"/>
  <c r="CX13" i="1"/>
  <c r="CX14" i="1" s="1"/>
  <c r="CM14" i="1"/>
  <c r="CM15" i="1" s="1"/>
  <c r="CL12" i="1"/>
  <c r="BQ13" i="1"/>
  <c r="BP12" i="1"/>
  <c r="DH14" i="1"/>
  <c r="DI15" i="1"/>
  <c r="BE13" i="1"/>
  <c r="BF14" i="1"/>
  <c r="AT14" i="1"/>
  <c r="AU15" i="1"/>
  <c r="AI14" i="1"/>
  <c r="AJ15" i="1"/>
  <c r="X13" i="1"/>
  <c r="Y14" i="1"/>
  <c r="X12" i="1"/>
  <c r="M12" i="1"/>
  <c r="B12" i="1"/>
  <c r="H12" i="2"/>
  <c r="H5" i="2"/>
  <c r="H13" i="2"/>
  <c r="H6" i="2"/>
  <c r="H14" i="2"/>
  <c r="H15" i="2" s="1"/>
  <c r="H8" i="2"/>
  <c r="N14" i="1" l="1"/>
  <c r="U14" i="1" s="1"/>
  <c r="M13" i="1"/>
  <c r="B13" i="1"/>
  <c r="DT15" i="1"/>
  <c r="DT16" i="1" s="1"/>
  <c r="C14" i="1"/>
  <c r="CW13" i="1"/>
  <c r="CB14" i="1"/>
  <c r="CA14" i="1" s="1"/>
  <c r="CL14" i="1"/>
  <c r="BQ14" i="1"/>
  <c r="BP13" i="1"/>
  <c r="DH15" i="1"/>
  <c r="DI16" i="1"/>
  <c r="CW14" i="1"/>
  <c r="CX15" i="1"/>
  <c r="CL15" i="1"/>
  <c r="CM16" i="1"/>
  <c r="BF15" i="1"/>
  <c r="BE14" i="1"/>
  <c r="AU16" i="1"/>
  <c r="AT15" i="1"/>
  <c r="AJ16" i="1"/>
  <c r="AI15" i="1"/>
  <c r="X14" i="1"/>
  <c r="Y15" i="1"/>
  <c r="M14" i="1"/>
  <c r="H11" i="2"/>
  <c r="H7" i="2"/>
  <c r="H9" i="2"/>
  <c r="H10" i="2"/>
  <c r="N15" i="1" l="1"/>
  <c r="M15" i="1" s="1"/>
  <c r="DS15" i="1"/>
  <c r="AF15" i="1"/>
  <c r="C15" i="1"/>
  <c r="B14" i="1"/>
  <c r="CB15" i="1"/>
  <c r="BQ15" i="1"/>
  <c r="BP14" i="1"/>
  <c r="CW15" i="1"/>
  <c r="CX16" i="1"/>
  <c r="DI17" i="1"/>
  <c r="DH16" i="1"/>
  <c r="DT17" i="1"/>
  <c r="DS16" i="1"/>
  <c r="CL16" i="1"/>
  <c r="CM17" i="1"/>
  <c r="BE15" i="1"/>
  <c r="BF16" i="1"/>
  <c r="AU17" i="1"/>
  <c r="AT16" i="1"/>
  <c r="AJ17" i="1"/>
  <c r="AI16" i="1"/>
  <c r="X15" i="1"/>
  <c r="Y16" i="1"/>
  <c r="N16" i="1"/>
  <c r="J15" i="1" l="1"/>
  <c r="C16" i="1"/>
  <c r="B15" i="1"/>
  <c r="CA15" i="1"/>
  <c r="CB16" i="1"/>
  <c r="BP15" i="1"/>
  <c r="BQ16" i="1"/>
  <c r="DI18" i="1"/>
  <c r="DH17" i="1"/>
  <c r="CX17" i="1"/>
  <c r="CW16" i="1"/>
  <c r="DS17" i="1"/>
  <c r="DT18" i="1"/>
  <c r="CM18" i="1"/>
  <c r="CL17" i="1"/>
  <c r="BF17" i="1"/>
  <c r="BE16" i="1"/>
  <c r="AT17" i="1"/>
  <c r="AU18" i="1"/>
  <c r="AJ18" i="1"/>
  <c r="AI17" i="1"/>
  <c r="Y17" i="1"/>
  <c r="X16" i="1"/>
  <c r="N17" i="1"/>
  <c r="M16" i="1"/>
  <c r="B16" i="1" l="1"/>
  <c r="C17" i="1"/>
  <c r="J17" i="1" s="1"/>
  <c r="CB17" i="1"/>
  <c r="CA16" i="1"/>
  <c r="BP16" i="1"/>
  <c r="BQ17" i="1"/>
  <c r="CW17" i="1"/>
  <c r="CX18" i="1"/>
  <c r="DI19" i="1"/>
  <c r="DH18" i="1"/>
  <c r="DS18" i="1"/>
  <c r="DT19" i="1"/>
  <c r="CM19" i="1"/>
  <c r="CL18" i="1"/>
  <c r="BE17" i="1"/>
  <c r="BF18" i="1"/>
  <c r="AU19" i="1"/>
  <c r="AT18" i="1"/>
  <c r="AJ19" i="1"/>
  <c r="AI18" i="1"/>
  <c r="X17" i="1"/>
  <c r="Y18" i="1"/>
  <c r="M17" i="1"/>
  <c r="N18" i="1"/>
  <c r="U18" i="1" s="1"/>
  <c r="C18" i="1" l="1"/>
  <c r="B17" i="1"/>
  <c r="CA17" i="1"/>
  <c r="CB18" i="1"/>
  <c r="BQ18" i="1"/>
  <c r="BP17" i="1"/>
  <c r="DI20" i="1"/>
  <c r="DH19" i="1"/>
  <c r="CX19" i="1"/>
  <c r="CW18" i="1"/>
  <c r="DS19" i="1"/>
  <c r="DT20" i="1"/>
  <c r="CL19" i="1"/>
  <c r="CM20" i="1"/>
  <c r="BE18" i="1"/>
  <c r="BF19" i="1"/>
  <c r="AT19" i="1"/>
  <c r="AU20" i="1"/>
  <c r="AJ20" i="1"/>
  <c r="AI19" i="1"/>
  <c r="Y19" i="1"/>
  <c r="X18" i="1"/>
  <c r="N19" i="1"/>
  <c r="U19" i="1" s="1"/>
  <c r="M18" i="1"/>
  <c r="C19" i="1" l="1"/>
  <c r="B18" i="1"/>
  <c r="CA18" i="1"/>
  <c r="CB19" i="1"/>
  <c r="BP18" i="1"/>
  <c r="BQ19" i="1"/>
  <c r="CW19" i="1"/>
  <c r="CX20" i="1"/>
  <c r="DI21" i="1"/>
  <c r="DH20" i="1"/>
  <c r="DS20" i="1"/>
  <c r="DT21" i="1"/>
  <c r="CL20" i="1"/>
  <c r="CM21" i="1"/>
  <c r="BE19" i="1"/>
  <c r="BF20" i="1"/>
  <c r="AT20" i="1"/>
  <c r="AU21" i="1"/>
  <c r="AI20" i="1"/>
  <c r="AJ21" i="1"/>
  <c r="Y20" i="1"/>
  <c r="AF20" i="1" s="1"/>
  <c r="X19" i="1"/>
  <c r="M19" i="1"/>
  <c r="N20" i="1"/>
  <c r="C20" i="1" l="1"/>
  <c r="B19" i="1"/>
  <c r="CA19" i="1"/>
  <c r="CB20" i="1"/>
  <c r="BQ20" i="1"/>
  <c r="BP19" i="1"/>
  <c r="DH21" i="1"/>
  <c r="DI22" i="1"/>
  <c r="CX21" i="1"/>
  <c r="CW20" i="1"/>
  <c r="DT22" i="1"/>
  <c r="DS21" i="1"/>
  <c r="CL21" i="1"/>
  <c r="CM22" i="1"/>
  <c r="BF21" i="1"/>
  <c r="BE20" i="1"/>
  <c r="AU22" i="1"/>
  <c r="AT21" i="1"/>
  <c r="AJ22" i="1"/>
  <c r="AI21" i="1"/>
  <c r="X20" i="1"/>
  <c r="Y21" i="1"/>
  <c r="M20" i="1"/>
  <c r="N21" i="1"/>
  <c r="U21" i="1" s="1"/>
  <c r="C21" i="1" l="1"/>
  <c r="B20" i="1"/>
  <c r="CA20" i="1"/>
  <c r="CB21" i="1"/>
  <c r="BP20" i="1"/>
  <c r="BQ21" i="1"/>
  <c r="CW21" i="1"/>
  <c r="CX22" i="1"/>
  <c r="DH22" i="1"/>
  <c r="DI23" i="1"/>
  <c r="DT23" i="1"/>
  <c r="DS22" i="1"/>
  <c r="CL22" i="1"/>
  <c r="CM23" i="1"/>
  <c r="BE21" i="1"/>
  <c r="BF22" i="1"/>
  <c r="AU23" i="1"/>
  <c r="AT22" i="1"/>
  <c r="AJ23" i="1"/>
  <c r="AI22" i="1"/>
  <c r="Y22" i="1"/>
  <c r="AF22" i="1" s="1"/>
  <c r="X21" i="1"/>
  <c r="N22" i="1"/>
  <c r="M21" i="1"/>
  <c r="C22" i="1" l="1"/>
  <c r="B21" i="1"/>
  <c r="CB22" i="1"/>
  <c r="CA21" i="1"/>
  <c r="BQ22" i="1"/>
  <c r="BP21" i="1"/>
  <c r="DH23" i="1"/>
  <c r="DI24" i="1"/>
  <c r="CX23" i="1"/>
  <c r="CW22" i="1"/>
  <c r="DS23" i="1"/>
  <c r="DT24" i="1"/>
  <c r="CL23" i="1"/>
  <c r="CM24" i="1"/>
  <c r="BF23" i="1"/>
  <c r="BE22" i="1"/>
  <c r="AT23" i="1"/>
  <c r="AU24" i="1"/>
  <c r="AJ24" i="1"/>
  <c r="AI23" i="1"/>
  <c r="Y23" i="1"/>
  <c r="X22" i="1"/>
  <c r="N23" i="1"/>
  <c r="M22" i="1"/>
  <c r="J22" i="1" l="1"/>
  <c r="C23" i="1"/>
  <c r="B22" i="1"/>
  <c r="CA22" i="1"/>
  <c r="CB23" i="1"/>
  <c r="BQ23" i="1"/>
  <c r="BP22" i="1"/>
  <c r="DI25" i="1"/>
  <c r="DH24" i="1"/>
  <c r="CW23" i="1"/>
  <c r="CX24" i="1"/>
  <c r="DS24" i="1"/>
  <c r="DT25" i="1"/>
  <c r="CM25" i="1"/>
  <c r="CL24" i="1"/>
  <c r="BE23" i="1"/>
  <c r="BF24" i="1"/>
  <c r="AT24" i="1"/>
  <c r="AU25" i="1"/>
  <c r="AI24" i="1"/>
  <c r="AJ25" i="1"/>
  <c r="X23" i="1"/>
  <c r="Y24" i="1"/>
  <c r="N24" i="1"/>
  <c r="M23" i="1"/>
  <c r="C24" i="1" l="1"/>
  <c r="B23" i="1"/>
  <c r="CA23" i="1"/>
  <c r="CB24" i="1"/>
  <c r="BQ24" i="1"/>
  <c r="BP23" i="1"/>
  <c r="DH25" i="1"/>
  <c r="DI26" i="1"/>
  <c r="CW24" i="1"/>
  <c r="CX25" i="1"/>
  <c r="DS25" i="1"/>
  <c r="DT26" i="1"/>
  <c r="CM26" i="1"/>
  <c r="CL25" i="1"/>
  <c r="BE24" i="1"/>
  <c r="BF25" i="1"/>
  <c r="AU26" i="1"/>
  <c r="AT25" i="1"/>
  <c r="AI25" i="1"/>
  <c r="AJ26" i="1"/>
  <c r="X24" i="1"/>
  <c r="Y25" i="1"/>
  <c r="M24" i="1"/>
  <c r="N25" i="1"/>
  <c r="J24" i="1" l="1"/>
  <c r="C25" i="1"/>
  <c r="B24" i="1"/>
  <c r="CA24" i="1"/>
  <c r="CB25" i="1"/>
  <c r="BQ25" i="1"/>
  <c r="BP24" i="1"/>
  <c r="CW25" i="1"/>
  <c r="CX26" i="1"/>
  <c r="DI27" i="1"/>
  <c r="DH26" i="1"/>
  <c r="DS26" i="1"/>
  <c r="DT27" i="1"/>
  <c r="CM27" i="1"/>
  <c r="CL26" i="1"/>
  <c r="BE25" i="1"/>
  <c r="BF26" i="1"/>
  <c r="AT26" i="1"/>
  <c r="AU27" i="1"/>
  <c r="AI26" i="1"/>
  <c r="AJ27" i="1"/>
  <c r="Y26" i="1"/>
  <c r="X25" i="1"/>
  <c r="N26" i="1"/>
  <c r="U26" i="1" s="1"/>
  <c r="M25" i="1"/>
  <c r="C26" i="1" l="1"/>
  <c r="B25" i="1"/>
  <c r="CA25" i="1"/>
  <c r="CB26" i="1"/>
  <c r="BP25" i="1"/>
  <c r="BQ26" i="1"/>
  <c r="CW26" i="1"/>
  <c r="CX27" i="1"/>
  <c r="DI28" i="1"/>
  <c r="DH27" i="1"/>
  <c r="DS27" i="1"/>
  <c r="DT28" i="1"/>
  <c r="CM28" i="1"/>
  <c r="CL27" i="1"/>
  <c r="BF27" i="1"/>
  <c r="BE26" i="1"/>
  <c r="AT27" i="1"/>
  <c r="AU28" i="1"/>
  <c r="AJ28" i="1"/>
  <c r="AI27" i="1"/>
  <c r="X26" i="1"/>
  <c r="Y27" i="1"/>
  <c r="AF27" i="1" s="1"/>
  <c r="M26" i="1"/>
  <c r="N27" i="1"/>
  <c r="C27" i="1" l="1"/>
  <c r="B26" i="1"/>
  <c r="CA26" i="1"/>
  <c r="CB27" i="1"/>
  <c r="BQ27" i="1"/>
  <c r="BP26" i="1"/>
  <c r="CW27" i="1"/>
  <c r="CX28" i="1"/>
  <c r="DI29" i="1"/>
  <c r="DH28" i="1"/>
  <c r="DS28" i="1"/>
  <c r="DT29" i="1"/>
  <c r="CM29" i="1"/>
  <c r="CL28" i="1"/>
  <c r="BE27" i="1"/>
  <c r="BF28" i="1"/>
  <c r="AU29" i="1"/>
  <c r="AT28" i="1"/>
  <c r="AJ29" i="1"/>
  <c r="AI28" i="1"/>
  <c r="X27" i="1"/>
  <c r="Y28" i="1"/>
  <c r="N28" i="1"/>
  <c r="U28" i="1" s="1"/>
  <c r="M27" i="1"/>
  <c r="C28" i="1" l="1"/>
  <c r="B27" i="1"/>
  <c r="CA27" i="1"/>
  <c r="CB28" i="1"/>
  <c r="BP27" i="1"/>
  <c r="BQ28" i="1"/>
  <c r="CW28" i="1"/>
  <c r="CX29" i="1"/>
  <c r="DI30" i="1"/>
  <c r="DH29" i="1"/>
  <c r="DT30" i="1"/>
  <c r="DS29" i="1"/>
  <c r="CM30" i="1"/>
  <c r="CL29" i="1"/>
  <c r="BE28" i="1"/>
  <c r="BF29" i="1"/>
  <c r="AT29" i="1"/>
  <c r="AU30" i="1"/>
  <c r="AI29" i="1"/>
  <c r="AJ30" i="1"/>
  <c r="Y29" i="1"/>
  <c r="X28" i="1"/>
  <c r="N29" i="1"/>
  <c r="M28" i="1"/>
  <c r="AF29" i="1" l="1"/>
  <c r="C29" i="1"/>
  <c r="B28" i="1"/>
  <c r="CA28" i="1"/>
  <c r="CB29" i="1"/>
  <c r="BP28" i="1"/>
  <c r="BQ29" i="1"/>
  <c r="CW29" i="1"/>
  <c r="CX30" i="1"/>
  <c r="DH30" i="1"/>
  <c r="DI31" i="1"/>
  <c r="DT31" i="1"/>
  <c r="DS30" i="1"/>
  <c r="CM31" i="1"/>
  <c r="CL30" i="1"/>
  <c r="BE29" i="1"/>
  <c r="BF30" i="1"/>
  <c r="AT30" i="1"/>
  <c r="AU31" i="1"/>
  <c r="AI30" i="1"/>
  <c r="AJ31" i="1"/>
  <c r="X29" i="1"/>
  <c r="Y30" i="1"/>
  <c r="M29" i="1"/>
  <c r="N30" i="1"/>
  <c r="J29" i="1" l="1"/>
  <c r="C30" i="1"/>
  <c r="B29" i="1"/>
  <c r="CA29" i="1"/>
  <c r="CB30" i="1"/>
  <c r="BQ30" i="1"/>
  <c r="BP29" i="1"/>
  <c r="DI32" i="1"/>
  <c r="DH31" i="1"/>
  <c r="CW30" i="1"/>
  <c r="CX31" i="1"/>
  <c r="DS31" i="1"/>
  <c r="DT32" i="1"/>
  <c r="CM32" i="1"/>
  <c r="CL31" i="1"/>
  <c r="BE30" i="1"/>
  <c r="BF31" i="1"/>
  <c r="AU32" i="1"/>
  <c r="AT31" i="1"/>
  <c r="AJ32" i="1"/>
  <c r="AI31" i="1"/>
  <c r="X30" i="1"/>
  <c r="Y31" i="1"/>
  <c r="M30" i="1"/>
  <c r="N31" i="1"/>
  <c r="C31" i="1" l="1"/>
  <c r="J31" i="1" s="1"/>
  <c r="B30" i="1"/>
  <c r="CA30" i="1"/>
  <c r="CB31" i="1"/>
  <c r="BP30" i="1"/>
  <c r="BQ31" i="1"/>
  <c r="DH32" i="1"/>
  <c r="DI33" i="1"/>
  <c r="CW31" i="1"/>
  <c r="CX32" i="1"/>
  <c r="DS32" i="1"/>
  <c r="DT33" i="1"/>
  <c r="CM33" i="1"/>
  <c r="CL32" i="1"/>
  <c r="BE31" i="1"/>
  <c r="BF32" i="1"/>
  <c r="AU33" i="1"/>
  <c r="AT32" i="1"/>
  <c r="AJ33" i="1"/>
  <c r="AI32" i="1"/>
  <c r="Y32" i="1"/>
  <c r="X31" i="1"/>
  <c r="N32" i="1"/>
  <c r="M31" i="1"/>
  <c r="C32" i="1" l="1"/>
  <c r="B31" i="1"/>
  <c r="CA31" i="1"/>
  <c r="CB32" i="1"/>
  <c r="BP31" i="1"/>
  <c r="BQ32" i="1"/>
  <c r="CW32" i="1"/>
  <c r="CX33" i="1"/>
  <c r="DH33" i="1"/>
  <c r="DI34" i="1"/>
  <c r="DS33" i="1"/>
  <c r="DT34" i="1"/>
  <c r="CM34" i="1"/>
  <c r="CL33" i="1"/>
  <c r="BF33" i="1"/>
  <c r="BE32" i="1"/>
  <c r="AU34" i="1"/>
  <c r="AT33" i="1"/>
  <c r="AJ34" i="1"/>
  <c r="AI33" i="1"/>
  <c r="Y33" i="1"/>
  <c r="X32" i="1"/>
  <c r="N33" i="1"/>
  <c r="U33" i="1" s="1"/>
  <c r="M32" i="1"/>
  <c r="C33" i="1" l="1"/>
  <c r="B32" i="1"/>
  <c r="CA32" i="1"/>
  <c r="CB33" i="1"/>
  <c r="BQ33" i="1"/>
  <c r="BP32" i="1"/>
  <c r="DI35" i="1"/>
  <c r="DH34" i="1"/>
  <c r="CW33" i="1"/>
  <c r="CX34" i="1"/>
  <c r="DS34" i="1"/>
  <c r="DT35" i="1"/>
  <c r="CM35" i="1"/>
  <c r="CL34" i="1"/>
  <c r="BE33" i="1"/>
  <c r="BF34" i="1"/>
  <c r="AU35" i="1"/>
  <c r="AT34" i="1"/>
  <c r="AJ35" i="1"/>
  <c r="AI34" i="1"/>
  <c r="X33" i="1"/>
  <c r="Y34" i="1"/>
  <c r="N34" i="1"/>
  <c r="M33" i="1"/>
  <c r="AF34" i="1" l="1"/>
  <c r="C34" i="1"/>
  <c r="B33" i="1"/>
  <c r="CB34" i="1"/>
  <c r="CA33" i="1"/>
  <c r="BQ34" i="1"/>
  <c r="BP33" i="1"/>
  <c r="DI36" i="1"/>
  <c r="DH35" i="1"/>
  <c r="CW34" i="1"/>
  <c r="CX35" i="1"/>
  <c r="DT36" i="1"/>
  <c r="DS35" i="1"/>
  <c r="CM36" i="1"/>
  <c r="CL35" i="1"/>
  <c r="BF35" i="1"/>
  <c r="BE34" i="1"/>
  <c r="AU36" i="1"/>
  <c r="AT35" i="1"/>
  <c r="AI35" i="1"/>
  <c r="AJ36" i="1"/>
  <c r="Y35" i="1"/>
  <c r="X34" i="1"/>
  <c r="N35" i="1"/>
  <c r="U35" i="1" s="1"/>
  <c r="M34" i="1"/>
  <c r="C35" i="1" l="1"/>
  <c r="B34" i="1"/>
  <c r="CB35" i="1"/>
  <c r="CA34" i="1"/>
  <c r="BQ35" i="1"/>
  <c r="BP34" i="1"/>
  <c r="CW35" i="1"/>
  <c r="CX36" i="1"/>
  <c r="DH36" i="1"/>
  <c r="DI37" i="1"/>
  <c r="DS36" i="1"/>
  <c r="DT37" i="1"/>
  <c r="CM37" i="1"/>
  <c r="CL36" i="1"/>
  <c r="BE35" i="1"/>
  <c r="BF36" i="1"/>
  <c r="AT36" i="1"/>
  <c r="AU37" i="1"/>
  <c r="AI36" i="1"/>
  <c r="AJ37" i="1"/>
  <c r="X35" i="1"/>
  <c r="Y36" i="1"/>
  <c r="AF36" i="1" s="1"/>
  <c r="M35" i="1"/>
  <c r="N36" i="1"/>
  <c r="C36" i="1" l="1"/>
  <c r="B35" i="1"/>
  <c r="CA35" i="1"/>
  <c r="CB36" i="1"/>
  <c r="BQ36" i="1"/>
  <c r="BP35" i="1"/>
  <c r="DH37" i="1"/>
  <c r="DI38" i="1"/>
  <c r="CW36" i="1"/>
  <c r="CX37" i="1"/>
  <c r="DS37" i="1"/>
  <c r="DT38" i="1"/>
  <c r="CM38" i="1"/>
  <c r="CL37" i="1"/>
  <c r="BF37" i="1"/>
  <c r="BE36" i="1"/>
  <c r="AT37" i="1"/>
  <c r="AU38" i="1"/>
  <c r="AJ38" i="1"/>
  <c r="AI37" i="1"/>
  <c r="X36" i="1"/>
  <c r="Y37" i="1"/>
  <c r="M36" i="1"/>
  <c r="N37" i="1"/>
  <c r="J36" i="1" l="1"/>
  <c r="C37" i="1"/>
  <c r="B36" i="1"/>
  <c r="CB37" i="1"/>
  <c r="CA36" i="1"/>
  <c r="BQ37" i="1"/>
  <c r="BP36" i="1"/>
  <c r="DI39" i="1"/>
  <c r="DH38" i="1"/>
  <c r="CW37" i="1"/>
  <c r="CX38" i="1"/>
  <c r="DS38" i="1"/>
  <c r="DT39" i="1"/>
  <c r="CL38" i="1"/>
  <c r="CM39" i="1"/>
  <c r="BE37" i="1"/>
  <c r="BF38" i="1"/>
  <c r="AU39" i="1"/>
  <c r="AT38" i="1"/>
  <c r="AJ39" i="1"/>
  <c r="AI38" i="1"/>
  <c r="X37" i="1"/>
  <c r="Y38" i="1"/>
  <c r="N38" i="1"/>
  <c r="M37" i="1"/>
  <c r="C38" i="1" l="1"/>
  <c r="B37" i="1"/>
  <c r="CA37" i="1"/>
  <c r="CB38" i="1"/>
  <c r="BQ38" i="1"/>
  <c r="BP37" i="1"/>
  <c r="CW38" i="1"/>
  <c r="CX39" i="1"/>
  <c r="DH39" i="1"/>
  <c r="DI40" i="1"/>
  <c r="DS39" i="1"/>
  <c r="DT40" i="1"/>
  <c r="CM40" i="1"/>
  <c r="CL39" i="1"/>
  <c r="BF39" i="1"/>
  <c r="BE38" i="1"/>
  <c r="AU40" i="1"/>
  <c r="AT39" i="1"/>
  <c r="AJ40" i="1"/>
  <c r="AI39" i="1"/>
  <c r="Y39" i="1"/>
  <c r="X38" i="1"/>
  <c r="N39" i="1"/>
  <c r="U39" i="1" s="1"/>
  <c r="M38" i="1"/>
  <c r="N40" i="1" l="1"/>
  <c r="U40" i="1" s="1"/>
  <c r="J38" i="1"/>
  <c r="C39" i="1"/>
  <c r="B38" i="1"/>
  <c r="CA38" i="1"/>
  <c r="CB39" i="1"/>
  <c r="BQ39" i="1"/>
  <c r="BP38" i="1"/>
  <c r="DH40" i="1"/>
  <c r="DI41" i="1"/>
  <c r="CW39" i="1"/>
  <c r="CX40" i="1"/>
  <c r="DS40" i="1"/>
  <c r="DT41" i="1"/>
  <c r="CM41" i="1"/>
  <c r="CL40" i="1"/>
  <c r="BE39" i="1"/>
  <c r="BF40" i="1"/>
  <c r="AU41" i="1"/>
  <c r="AT40" i="1"/>
  <c r="AJ41" i="1"/>
  <c r="AI40" i="1"/>
  <c r="Y40" i="1"/>
  <c r="X39" i="1"/>
  <c r="M39" i="1"/>
  <c r="T40" i="1" l="1"/>
  <c r="U34" i="1" s="1"/>
  <c r="U20" i="1"/>
  <c r="U25" i="1"/>
  <c r="C40" i="1"/>
  <c r="B39" i="1"/>
  <c r="CB40" i="1"/>
  <c r="CA39" i="1"/>
  <c r="BQ40" i="1"/>
  <c r="BP39" i="1"/>
  <c r="DH41" i="1"/>
  <c r="CW40" i="1"/>
  <c r="CX41" i="1"/>
  <c r="DS41" i="1"/>
  <c r="DT42" i="1"/>
  <c r="DS42" i="1" s="1"/>
  <c r="CL41" i="1"/>
  <c r="BF41" i="1"/>
  <c r="BE40" i="1"/>
  <c r="AU42" i="1"/>
  <c r="AT42" i="1" s="1"/>
  <c r="AT41" i="1"/>
  <c r="AI41" i="1"/>
  <c r="Y41" i="1"/>
  <c r="X40" i="1"/>
  <c r="M40" i="1"/>
  <c r="U27" i="1" l="1"/>
  <c r="U22" i="1"/>
  <c r="U29" i="1"/>
  <c r="U36" i="1"/>
  <c r="U38" i="1"/>
  <c r="U23" i="1"/>
  <c r="U30" i="1"/>
  <c r="U37" i="1"/>
  <c r="U24" i="1"/>
  <c r="U31" i="1"/>
  <c r="U32" i="1"/>
  <c r="Y42" i="1"/>
  <c r="AF14" i="1" s="1"/>
  <c r="AF41" i="1"/>
  <c r="AF32" i="1"/>
  <c r="AF25" i="1"/>
  <c r="AF39" i="1"/>
  <c r="C41" i="1"/>
  <c r="B40" i="1"/>
  <c r="CA40" i="1"/>
  <c r="CB41" i="1"/>
  <c r="BP40" i="1"/>
  <c r="BQ41" i="1"/>
  <c r="CX42" i="1"/>
  <c r="CW42" i="1" s="1"/>
  <c r="CW41" i="1"/>
  <c r="BE41" i="1"/>
  <c r="X41" i="1"/>
  <c r="AF28" i="1" l="1"/>
  <c r="AF26" i="1"/>
  <c r="AF21" i="1"/>
  <c r="AF35" i="1"/>
  <c r="AF16" i="1"/>
  <c r="AF37" i="1"/>
  <c r="AF23" i="1"/>
  <c r="AF30" i="1"/>
  <c r="AF17" i="1"/>
  <c r="AF38" i="1"/>
  <c r="AF24" i="1"/>
  <c r="AF31" i="1"/>
  <c r="AF33" i="1"/>
  <c r="AF12" i="1"/>
  <c r="AF19" i="1"/>
  <c r="AF40" i="1"/>
  <c r="X42" i="1"/>
  <c r="AF42" i="1"/>
  <c r="AF18" i="1"/>
  <c r="C42" i="1"/>
  <c r="U13" i="1" s="1"/>
  <c r="B41" i="1"/>
  <c r="CB42" i="1"/>
  <c r="CA42" i="1" s="1"/>
  <c r="CA41" i="1"/>
  <c r="BQ42" i="1"/>
  <c r="BP42" i="1" s="1"/>
  <c r="BP41" i="1"/>
  <c r="J19" i="1" l="1"/>
  <c r="U15" i="1"/>
  <c r="J25" i="1"/>
  <c r="J32" i="1"/>
  <c r="J18" i="1"/>
  <c r="J39" i="1"/>
  <c r="J12" i="1"/>
  <c r="K12" i="1" s="1"/>
  <c r="J33" i="1"/>
  <c r="U17" i="1"/>
  <c r="J40" i="1"/>
  <c r="J26" i="1"/>
  <c r="U16" i="1"/>
  <c r="J13" i="1"/>
  <c r="J34" i="1"/>
  <c r="J41" i="1"/>
  <c r="J27" i="1"/>
  <c r="J20" i="1"/>
  <c r="J35" i="1"/>
  <c r="J16" i="1"/>
  <c r="J30" i="1"/>
  <c r="J23" i="1"/>
  <c r="J37" i="1"/>
  <c r="J21" i="1"/>
  <c r="J42" i="1"/>
  <c r="J28" i="1"/>
  <c r="J14" i="1"/>
  <c r="B42" i="1"/>
</calcChain>
</file>

<file path=xl/sharedStrings.xml><?xml version="1.0" encoding="utf-8"?>
<sst xmlns="http://schemas.openxmlformats.org/spreadsheetml/2006/main" count="135" uniqueCount="28">
  <si>
    <t>Année</t>
  </si>
  <si>
    <t>Années</t>
  </si>
  <si>
    <t>Semaines</t>
  </si>
  <si>
    <t>Jour férié</t>
  </si>
  <si>
    <t>Jour de l’An</t>
  </si>
  <si>
    <t>Pâques</t>
  </si>
  <si>
    <t>Lundi de Pâques</t>
  </si>
  <si>
    <t>Fête du travail</t>
  </si>
  <si>
    <t>Ascension</t>
  </si>
  <si>
    <t>Pentecôte</t>
  </si>
  <si>
    <t>Lundi de Pentecôte</t>
  </si>
  <si>
    <t>Fête Nationale</t>
  </si>
  <si>
    <t>Assomption</t>
  </si>
  <si>
    <t>Toussaint</t>
  </si>
  <si>
    <t>Noël</t>
  </si>
  <si>
    <t>Armistice</t>
  </si>
  <si>
    <t>Arrivée</t>
  </si>
  <si>
    <t>Départ</t>
  </si>
  <si>
    <t>Temps</t>
  </si>
  <si>
    <t>Pause</t>
  </si>
  <si>
    <t>Réel</t>
  </si>
  <si>
    <t>Semaine</t>
  </si>
  <si>
    <t>récup</t>
  </si>
  <si>
    <t>repo</t>
  </si>
  <si>
    <t>ferié</t>
  </si>
  <si>
    <t>Dates</t>
  </si>
  <si>
    <t>contrat</t>
  </si>
  <si>
    <t>Les autres mois ne sont pas encore fait correctement ( ne tenir compte que du mois de janvier) jerepererai la formule aux autres mois merci.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</si>
</sst>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[$-F800]dddd\,\ mmmm\ dd\,\ yyyy"/>
    <numFmt numFmtId="165" formatCode="mmmm"/>
    <numFmt numFmtId="166" formatCode="h\.mm;@"/>
    <numFmt numFmtId="167" formatCode="[$-F400]h:mm:ss\ AM/PM"/>
    <numFmt numFmtId="168" formatCode="h:mm"/>
    <numFmt numFmtId="169" formatCode="[h]:mm;@"/>
    <numFmt numFmtId="170" formatCode="dd"/>
    <numFmt numFmtId="171" formatCode="dddd"/>
    <numFmt numFmtId="172" formatCode="dd\ dddd\ mmmm\ yyyy"/>
    <numFmt numFmtId="173" formatCode="[h]:mm;[h]:mm;&quot;&quot;"/>
  </numFmts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dashDotDot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DotDot">
        <color indexed="64"/>
      </right>
      <top style="dotted">
        <color indexed="64"/>
      </top>
      <bottom style="medium">
        <color indexed="64"/>
      </bottom>
      <diagonal/>
    </border>
    <border>
      <left style="dashDotDot">
        <color indexed="64"/>
      </left>
      <right style="dashDotDot">
        <color indexed="64"/>
      </right>
      <top style="dotted">
        <color indexed="64"/>
      </top>
      <bottom style="medium">
        <color indexed="64"/>
      </bottom>
      <diagonal/>
    </border>
    <border>
      <left/>
      <right/>
      <top/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dashDotDot">
        <color indexed="64"/>
      </right>
      <top/>
      <bottom style="medium">
        <color rgb="FFFF0000"/>
      </bottom>
      <diagonal/>
    </border>
    <border>
      <left style="dashDotDot">
        <color indexed="64"/>
      </left>
      <right style="dashDotDot">
        <color indexed="64"/>
      </right>
      <top/>
      <bottom style="medium">
        <color rgb="FFFF0000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dashDotDot">
        <color indexed="64"/>
      </right>
      <top style="medium">
        <color rgb="FFFF0000"/>
      </top>
      <bottom style="dotted">
        <color indexed="64"/>
      </bottom>
      <diagonal/>
    </border>
    <border>
      <left style="dashDotDot">
        <color indexed="64"/>
      </left>
      <right style="dashDotDot">
        <color indexed="64"/>
      </right>
      <top style="medium">
        <color rgb="FFFF0000"/>
      </top>
      <bottom style="dotted">
        <color indexed="64"/>
      </bottom>
      <diagonal/>
    </border>
    <border>
      <left style="dashDotDot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ashDotDot">
        <color indexed="64"/>
      </left>
      <right/>
      <top style="medium">
        <color rgb="FFFF0000"/>
      </top>
      <bottom style="dotted">
        <color indexed="64"/>
      </bottom>
      <diagonal/>
    </border>
    <border>
      <left style="dashDotDot">
        <color indexed="64"/>
      </left>
      <right/>
      <top style="dotted">
        <color indexed="64"/>
      </top>
      <bottom style="medium">
        <color indexed="64"/>
      </bottom>
      <diagonal/>
    </border>
    <border>
      <left style="dashDotDot">
        <color indexed="64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indexed="64"/>
      </left>
      <right/>
      <top style="medium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dashDotDot">
        <color indexed="64"/>
      </left>
      <right/>
      <top style="medium">
        <color rgb="FFFF0000"/>
      </top>
      <bottom style="medium">
        <color rgb="FFFF0000"/>
      </bottom>
      <diagonal/>
    </border>
    <border>
      <left/>
      <right style="medium">
        <color indexed="64"/>
      </right>
      <top style="medium">
        <color rgb="FFFF0000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164" fontId="0" fillId="0" borderId="0" xfId="0" applyNumberFormat="1"/>
    <xf numFmtId="0" fontId="0" fillId="0" borderId="1" xfId="0" applyBorder="1" applyAlignment="1">
      <alignment horizontal="center" vertical="center"/>
    </xf>
    <xf numFmtId="166" fontId="0" fillId="2" borderId="3" xfId="0" applyNumberFormat="1" applyFill="1" applyBorder="1" applyAlignment="1" applyProtection="1">
      <alignment horizontal="center"/>
      <protection locked="0"/>
    </xf>
    <xf numFmtId="166" fontId="0" fillId="2" borderId="4" xfId="0" applyNumberFormat="1" applyFill="1" applyBorder="1" applyAlignment="1" applyProtection="1">
      <alignment horizontal="center"/>
      <protection locked="0"/>
    </xf>
    <xf numFmtId="166" fontId="0" fillId="2" borderId="3" xfId="0" applyNumberFormat="1" applyFill="1" applyBorder="1" applyAlignment="1" applyProtection="1">
      <alignment horizontal="center" vertical="center"/>
    </xf>
    <xf numFmtId="170" fontId="0" fillId="2" borderId="2" xfId="0" applyNumberFormat="1" applyFill="1" applyBorder="1" applyAlignment="1">
      <alignment horizontal="center" vertical="center"/>
    </xf>
    <xf numFmtId="171" fontId="0" fillId="2" borderId="2" xfId="0" applyNumberFormat="1" applyFill="1" applyBorder="1" applyAlignment="1">
      <alignment horizontal="left" vertical="top"/>
    </xf>
    <xf numFmtId="170" fontId="0" fillId="2" borderId="5" xfId="0" applyNumberFormat="1" applyFill="1" applyBorder="1" applyAlignment="1">
      <alignment horizontal="center" vertical="center"/>
    </xf>
    <xf numFmtId="171" fontId="0" fillId="2" borderId="5" xfId="0" applyNumberFormat="1" applyFill="1" applyBorder="1" applyAlignment="1">
      <alignment horizontal="left" vertical="top"/>
    </xf>
    <xf numFmtId="0" fontId="0" fillId="0" borderId="19" xfId="0" applyBorder="1"/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4" xfId="0" applyBorder="1"/>
    <xf numFmtId="0" fontId="0" fillId="0" borderId="18" xfId="0" applyBorder="1" applyAlignment="1">
      <alignment horizontal="center" vertical="center"/>
    </xf>
    <xf numFmtId="0" fontId="0" fillId="0" borderId="22" xfId="0" applyBorder="1"/>
    <xf numFmtId="166" fontId="0" fillId="0" borderId="23" xfId="0" applyNumberFormat="1" applyFill="1" applyBorder="1" applyAlignment="1" applyProtection="1">
      <alignment horizontal="center"/>
      <protection locked="0"/>
    </xf>
    <xf numFmtId="166" fontId="0" fillId="0" borderId="0" xfId="0" applyNumberFormat="1" applyFill="1" applyBorder="1" applyAlignment="1" applyProtection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171" fontId="1" fillId="0" borderId="23" xfId="0" applyNumberFormat="1" applyFont="1" applyFill="1" applyBorder="1" applyAlignment="1">
      <alignment horizontal="left" vertical="top"/>
    </xf>
    <xf numFmtId="166" fontId="0" fillId="0" borderId="23" xfId="0" applyNumberFormat="1" applyFill="1" applyBorder="1" applyAlignment="1" applyProtection="1">
      <alignment horizontal="center" vertical="center"/>
    </xf>
    <xf numFmtId="169" fontId="0" fillId="0" borderId="0" xfId="0" applyNumberFormat="1" applyFill="1" applyBorder="1" applyAlignment="1">
      <alignment vertical="center"/>
    </xf>
    <xf numFmtId="171" fontId="1" fillId="0" borderId="0" xfId="0" applyNumberFormat="1" applyFont="1" applyFill="1" applyBorder="1" applyAlignment="1">
      <alignment horizontal="left" vertical="top"/>
    </xf>
    <xf numFmtId="166" fontId="0" fillId="0" borderId="0" xfId="0" applyNumberFormat="1" applyFill="1" applyBorder="1" applyAlignment="1" applyProtection="1">
      <alignment horizontal="center"/>
      <protection locked="0"/>
    </xf>
    <xf numFmtId="14" fontId="0" fillId="0" borderId="0" xfId="0" applyNumberFormat="1"/>
    <xf numFmtId="166" fontId="0" fillId="2" borderId="7" xfId="0" applyNumberFormat="1" applyFill="1" applyBorder="1" applyAlignment="1" applyProtection="1">
      <alignment horizontal="center" vertical="center"/>
    </xf>
    <xf numFmtId="0" fontId="0" fillId="0" borderId="23" xfId="0" applyBorder="1"/>
    <xf numFmtId="166" fontId="0" fillId="2" borderId="24" xfId="0" applyNumberFormat="1" applyFill="1" applyBorder="1" applyAlignment="1" applyProtection="1">
      <alignment horizontal="center" vertical="center"/>
      <protection locked="0"/>
    </xf>
    <xf numFmtId="166" fontId="0" fillId="2" borderId="25" xfId="0" applyNumberFormat="1" applyFill="1" applyBorder="1" applyAlignment="1" applyProtection="1">
      <alignment horizontal="center" vertical="center"/>
      <protection locked="0"/>
    </xf>
    <xf numFmtId="166" fontId="0" fillId="2" borderId="25" xfId="0" applyNumberFormat="1" applyFill="1" applyBorder="1" applyAlignment="1" applyProtection="1">
      <alignment horizontal="center" vertical="center"/>
    </xf>
    <xf numFmtId="167" fontId="0" fillId="2" borderId="25" xfId="0" applyNumberFormat="1" applyFill="1" applyBorder="1" applyAlignment="1" applyProtection="1">
      <alignment horizontal="center" vertical="center"/>
    </xf>
    <xf numFmtId="0" fontId="1" fillId="4" borderId="0" xfId="0" applyFont="1" applyFill="1"/>
    <xf numFmtId="20" fontId="0" fillId="2" borderId="4" xfId="0" applyNumberFormat="1" applyFill="1" applyBorder="1" applyAlignment="1" applyProtection="1">
      <alignment horizontal="center"/>
      <protection locked="0"/>
    </xf>
    <xf numFmtId="166" fontId="0" fillId="2" borderId="6" xfId="0" applyNumberFormat="1" applyFill="1" applyBorder="1" applyAlignment="1" applyProtection="1">
      <alignment horizontal="center"/>
      <protection locked="0"/>
    </xf>
    <xf numFmtId="166" fontId="0" fillId="2" borderId="7" xfId="0" applyNumberFormat="1" applyFill="1" applyBorder="1" applyAlignment="1" applyProtection="1">
      <alignment horizontal="center"/>
      <protection locked="0"/>
    </xf>
    <xf numFmtId="0" fontId="0" fillId="3" borderId="0" xfId="0" applyFill="1"/>
    <xf numFmtId="0" fontId="0" fillId="3" borderId="8" xfId="0" applyFill="1" applyBorder="1"/>
    <xf numFmtId="0" fontId="0" fillId="3" borderId="13" xfId="0" applyNumberFormat="1" applyFill="1" applyBorder="1"/>
    <xf numFmtId="0" fontId="0" fillId="3" borderId="9" xfId="0" applyFill="1" applyBorder="1"/>
    <xf numFmtId="0" fontId="0" fillId="3" borderId="12" xfId="0" applyFill="1" applyBorder="1"/>
    <xf numFmtId="0" fontId="0" fillId="3" borderId="11" xfId="0" applyFill="1" applyBorder="1"/>
    <xf numFmtId="0" fontId="0" fillId="3" borderId="10" xfId="0" applyFill="1" applyBorder="1"/>
    <xf numFmtId="0" fontId="0" fillId="3" borderId="27" xfId="0" applyFill="1" applyBorder="1" applyAlignment="1">
      <alignment vertical="center"/>
    </xf>
    <xf numFmtId="0" fontId="0" fillId="3" borderId="23" xfId="0" applyFill="1" applyBorder="1" applyAlignment="1">
      <alignment vertical="center"/>
    </xf>
    <xf numFmtId="0" fontId="0" fillId="3" borderId="28" xfId="0" applyFill="1" applyBorder="1" applyAlignment="1">
      <alignment vertical="center"/>
    </xf>
    <xf numFmtId="0" fontId="0" fillId="3" borderId="18" xfId="0" applyFill="1" applyBorder="1" applyAlignment="1">
      <alignment vertical="center"/>
    </xf>
    <xf numFmtId="0" fontId="0" fillId="3" borderId="0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29" xfId="0" applyFill="1" applyBorder="1" applyAlignment="1">
      <alignment vertical="center"/>
    </xf>
    <xf numFmtId="0" fontId="0" fillId="3" borderId="30" xfId="0" applyFill="1" applyBorder="1" applyAlignment="1">
      <alignment vertical="center"/>
    </xf>
    <xf numFmtId="166" fontId="0" fillId="2" borderId="31" xfId="0" applyNumberFormat="1" applyFill="1" applyBorder="1" applyAlignment="1" applyProtection="1">
      <alignment horizontal="center"/>
      <protection locked="0"/>
    </xf>
    <xf numFmtId="166" fontId="0" fillId="2" borderId="26" xfId="0" applyNumberFormat="1" applyFill="1" applyBorder="1" applyAlignment="1" applyProtection="1">
      <alignment horizontal="center"/>
      <protection locked="0"/>
    </xf>
    <xf numFmtId="166" fontId="0" fillId="2" borderId="32" xfId="0" applyNumberFormat="1" applyFill="1" applyBorder="1" applyAlignment="1" applyProtection="1">
      <alignment horizontal="center"/>
      <protection locked="0"/>
    </xf>
    <xf numFmtId="0" fontId="0" fillId="0" borderId="33" xfId="0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168" fontId="0" fillId="2" borderId="18" xfId="0" applyNumberFormat="1" applyFill="1" applyBorder="1" applyAlignment="1">
      <alignment vertical="center"/>
    </xf>
    <xf numFmtId="166" fontId="0" fillId="2" borderId="22" xfId="0" applyNumberFormat="1" applyFill="1" applyBorder="1" applyAlignment="1">
      <alignment vertical="center"/>
    </xf>
    <xf numFmtId="169" fontId="0" fillId="2" borderId="18" xfId="0" applyNumberFormat="1" applyFill="1" applyBorder="1" applyAlignment="1">
      <alignment vertical="center"/>
    </xf>
    <xf numFmtId="169" fontId="0" fillId="2" borderId="22" xfId="0" applyNumberFormat="1" applyFill="1" applyBorder="1" applyAlignment="1">
      <alignment vertical="center"/>
    </xf>
    <xf numFmtId="169" fontId="0" fillId="2" borderId="1" xfId="0" applyNumberFormat="1" applyFill="1" applyBorder="1" applyAlignment="1">
      <alignment vertical="center"/>
    </xf>
    <xf numFmtId="169" fontId="0" fillId="2" borderId="30" xfId="0" applyNumberFormat="1" applyFill="1" applyBorder="1" applyAlignment="1">
      <alignment vertical="center"/>
    </xf>
    <xf numFmtId="170" fontId="0" fillId="2" borderId="22" xfId="0" applyNumberFormat="1" applyFill="1" applyBorder="1" applyAlignment="1">
      <alignment horizontal="left" vertical="top"/>
    </xf>
    <xf numFmtId="171" fontId="0" fillId="2" borderId="35" xfId="0" applyNumberFormat="1" applyFill="1" applyBorder="1" applyAlignment="1">
      <alignment horizontal="right"/>
    </xf>
    <xf numFmtId="171" fontId="0" fillId="2" borderId="18" xfId="0" applyNumberFormat="1" applyFill="1" applyBorder="1" applyAlignment="1">
      <alignment horizontal="right"/>
    </xf>
    <xf numFmtId="171" fontId="0" fillId="2" borderId="1" xfId="0" applyNumberFormat="1" applyFill="1" applyBorder="1" applyAlignment="1">
      <alignment horizontal="right"/>
    </xf>
    <xf numFmtId="171" fontId="0" fillId="2" borderId="35" xfId="0" applyNumberFormat="1" applyFill="1" applyBorder="1" applyAlignment="1">
      <alignment horizontal="right" vertical="center"/>
    </xf>
    <xf numFmtId="171" fontId="0" fillId="2" borderId="18" xfId="0" applyNumberFormat="1" applyFill="1" applyBorder="1" applyAlignment="1">
      <alignment horizontal="right" vertical="center"/>
    </xf>
    <xf numFmtId="171" fontId="0" fillId="2" borderId="1" xfId="0" applyNumberFormat="1" applyFill="1" applyBorder="1" applyAlignment="1">
      <alignment horizontal="right" vertical="center"/>
    </xf>
    <xf numFmtId="170" fontId="0" fillId="2" borderId="22" xfId="0" applyNumberFormat="1" applyFill="1" applyBorder="1" applyAlignment="1">
      <alignment horizontal="center" vertical="center"/>
    </xf>
    <xf numFmtId="170" fontId="0" fillId="2" borderId="30" xfId="0" applyNumberFormat="1" applyFill="1" applyBorder="1" applyAlignment="1">
      <alignment horizontal="left" vertical="top"/>
    </xf>
    <xf numFmtId="170" fontId="0" fillId="2" borderId="30" xfId="0" applyNumberForma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166" fontId="0" fillId="2" borderId="38" xfId="0" applyNumberFormat="1" applyFill="1" applyBorder="1" applyAlignment="1">
      <alignment vertical="center"/>
    </xf>
    <xf numFmtId="168" fontId="0" fillId="2" borderId="35" xfId="0" applyNumberFormat="1" applyFill="1" applyBorder="1" applyAlignment="1">
      <alignment vertical="center"/>
    </xf>
    <xf numFmtId="169" fontId="0" fillId="3" borderId="0" xfId="0" applyNumberFormat="1" applyFill="1" applyBorder="1" applyAlignment="1">
      <alignment vertical="center"/>
    </xf>
    <xf numFmtId="173" fontId="0" fillId="2" borderId="18" xfId="0" quotePrefix="1" applyNumberFormat="1" applyFill="1" applyBorder="1" applyAlignment="1">
      <alignment vertical="center"/>
    </xf>
    <xf numFmtId="173" fontId="0" fillId="2" borderId="1" xfId="0" quotePrefix="1" applyNumberFormat="1" applyFill="1" applyBorder="1" applyAlignment="1">
      <alignment vertical="center"/>
    </xf>
    <xf numFmtId="173" fontId="0" fillId="2" borderId="18" xfId="0" applyNumberFormat="1" applyFill="1" applyBorder="1" applyAlignment="1">
      <alignment vertical="center"/>
    </xf>
    <xf numFmtId="173" fontId="0" fillId="2" borderId="1" xfId="0" applyNumberFormat="1" applyFill="1" applyBorder="1" applyAlignment="1">
      <alignment vertical="center"/>
    </xf>
    <xf numFmtId="165" fontId="0" fillId="0" borderId="15" xfId="0" applyNumberFormat="1" applyBorder="1" applyAlignment="1">
      <alignment horizontal="center" vertical="center"/>
    </xf>
    <xf numFmtId="165" fontId="0" fillId="0" borderId="16" xfId="0" applyNumberFormat="1" applyBorder="1" applyAlignment="1">
      <alignment horizontal="center" vertical="center"/>
    </xf>
    <xf numFmtId="165" fontId="0" fillId="0" borderId="17" xfId="0" applyNumberFormat="1" applyBorder="1" applyAlignment="1">
      <alignment horizontal="center" vertic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4" borderId="0" xfId="0" applyFont="1" applyFill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3" borderId="36" xfId="0" applyFill="1" applyBorder="1" applyAlignment="1">
      <alignment horizontal="center"/>
    </xf>
    <xf numFmtId="172" fontId="3" fillId="4" borderId="0" xfId="0" applyNumberFormat="1" applyFont="1" applyFill="1" applyAlignment="1">
      <alignment horizontal="center"/>
    </xf>
    <xf numFmtId="166" fontId="0" fillId="0" borderId="0" xfId="0" applyNumberFormat="1"/>
    <xf numFmtId="0" fontId="6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39">
    <dxf>
      <font>
        <color rgb="FFFFFF00"/>
      </font>
    </dxf>
    <dxf>
      <font>
        <color rgb="FFFFFF00"/>
      </font>
    </dxf>
    <dxf>
      <font>
        <color rgb="FFFFFF00"/>
      </font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FF00"/>
      </font>
      <fill>
        <patternFill>
          <bgColor rgb="FF92D05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EB68"/>
  <sheetViews>
    <sheetView showGridLines="0" tabSelected="1" zoomScale="80" zoomScaleNormal="80" workbookViewId="0">
      <selection activeCell="E3" sqref="E3"/>
    </sheetView>
  </sheetViews>
  <sheetFormatPr baseColWidth="10" defaultRowHeight="14.4" x14ac:dyDescent="0.3"/>
  <cols>
    <col min="2" max="2" width="3.44140625" customWidth="1"/>
    <col min="3" max="3" width="11.109375" customWidth="1"/>
    <col min="4" max="4" width="3.33203125" customWidth="1"/>
    <col min="5" max="5" width="13.109375" customWidth="1"/>
    <col min="6" max="6" width="13.44140625" customWidth="1"/>
    <col min="7" max="7" width="13" customWidth="1"/>
    <col min="13" max="13" width="3.109375" customWidth="1"/>
    <col min="14" max="14" width="10.5546875" customWidth="1"/>
    <col min="15" max="15" width="3.109375" customWidth="1"/>
    <col min="23" max="23" width="7.109375" customWidth="1"/>
    <col min="24" max="24" width="4.33203125" customWidth="1"/>
    <col min="25" max="25" width="10.5546875" customWidth="1"/>
    <col min="26" max="26" width="3.109375" customWidth="1"/>
    <col min="35" max="35" width="3.88671875" customWidth="1"/>
    <col min="36" max="36" width="11.44140625" customWidth="1"/>
    <col min="46" max="46" width="3.33203125" customWidth="1"/>
    <col min="57" max="57" width="3.6640625" customWidth="1"/>
    <col min="68" max="68" width="3.88671875" customWidth="1"/>
    <col min="79" max="79" width="4.33203125" customWidth="1"/>
    <col min="90" max="90" width="3.5546875" customWidth="1"/>
    <col min="101" max="101" width="3.6640625" customWidth="1"/>
    <col min="112" max="112" width="4.109375" customWidth="1"/>
    <col min="123" max="123" width="3.88671875" customWidth="1"/>
  </cols>
  <sheetData>
    <row r="2" spans="1:132" ht="15" thickBot="1" x14ac:dyDescent="0.35">
      <c r="C2" s="35"/>
      <c r="D2" s="35"/>
      <c r="E2" s="36"/>
      <c r="F2" s="35"/>
      <c r="G2" s="35" t="s">
        <v>26</v>
      </c>
      <c r="H2" s="35"/>
      <c r="I2" s="35"/>
      <c r="J2" s="35"/>
      <c r="K2" s="35"/>
      <c r="L2" s="35"/>
      <c r="M2" s="35"/>
      <c r="N2" s="35"/>
      <c r="O2" s="35"/>
      <c r="P2" s="35"/>
    </row>
    <row r="3" spans="1:132" x14ac:dyDescent="0.3">
      <c r="C3" s="89" t="s">
        <v>0</v>
      </c>
      <c r="D3" s="90"/>
      <c r="E3" s="37">
        <v>2020</v>
      </c>
      <c r="F3" s="35"/>
      <c r="G3" s="76">
        <v>1.4166666666666667</v>
      </c>
      <c r="H3" s="46"/>
      <c r="I3" s="42"/>
      <c r="J3" s="43"/>
      <c r="K3" s="43"/>
      <c r="L3" s="43"/>
      <c r="M3" s="43"/>
      <c r="N3" s="43"/>
      <c r="O3" s="44"/>
      <c r="P3" s="35"/>
    </row>
    <row r="4" spans="1:132" x14ac:dyDescent="0.3">
      <c r="C4" s="35"/>
      <c r="D4" s="35"/>
      <c r="E4" s="38"/>
      <c r="F4" s="35"/>
      <c r="G4" s="46"/>
      <c r="H4" s="46"/>
      <c r="I4" s="45"/>
      <c r="J4" s="46"/>
      <c r="K4" s="46"/>
      <c r="L4" s="46"/>
      <c r="M4" s="46"/>
      <c r="N4" s="46"/>
      <c r="O4" s="47"/>
      <c r="P4" s="35"/>
    </row>
    <row r="5" spans="1:132" ht="15" thickBot="1" x14ac:dyDescent="0.35">
      <c r="C5" s="89" t="s">
        <v>2</v>
      </c>
      <c r="D5" s="90"/>
      <c r="E5" s="39">
        <v>3</v>
      </c>
      <c r="F5" s="40"/>
      <c r="G5" s="46"/>
      <c r="H5" s="46"/>
      <c r="I5" s="48"/>
      <c r="J5" s="49"/>
      <c r="K5" s="49"/>
      <c r="L5" s="49"/>
      <c r="M5" s="49"/>
      <c r="N5" s="49"/>
      <c r="O5" s="50"/>
      <c r="P5" s="35"/>
    </row>
    <row r="6" spans="1:132" x14ac:dyDescent="0.3">
      <c r="C6" s="35"/>
      <c r="D6" s="35"/>
      <c r="E6" s="41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32" x14ac:dyDescent="0.3">
      <c r="C7" s="88" t="s">
        <v>27</v>
      </c>
      <c r="D7" s="88"/>
      <c r="E7" s="88"/>
      <c r="F7" s="88"/>
      <c r="G7" s="88"/>
      <c r="H7" s="88"/>
      <c r="I7" s="88"/>
      <c r="J7" s="88"/>
      <c r="K7" s="88"/>
      <c r="L7" s="88"/>
      <c r="T7" s="92"/>
    </row>
    <row r="8" spans="1:132" x14ac:dyDescent="0.3">
      <c r="C8" s="88"/>
      <c r="D8" s="88"/>
      <c r="E8" s="88"/>
      <c r="F8" s="88"/>
      <c r="G8" s="88"/>
      <c r="H8" s="88"/>
      <c r="I8" s="88"/>
      <c r="J8" s="88"/>
      <c r="K8" s="88"/>
      <c r="L8" s="88"/>
      <c r="N8" s="93"/>
    </row>
    <row r="9" spans="1:132" ht="15" thickBot="1" x14ac:dyDescent="0.35">
      <c r="C9" s="88"/>
      <c r="D9" s="88"/>
      <c r="E9" s="88"/>
      <c r="F9" s="88"/>
      <c r="G9" s="88"/>
      <c r="H9" s="88"/>
      <c r="I9" s="88"/>
      <c r="J9" s="88"/>
      <c r="K9" s="88"/>
      <c r="L9" s="88"/>
    </row>
    <row r="10" spans="1:132" ht="15" thickBot="1" x14ac:dyDescent="0.35">
      <c r="B10" s="13"/>
      <c r="C10" s="81">
        <f>(IF($E$3&lt;&gt;"",DATE($E$3,COLUMN($E$3)/4,1)))</f>
        <v>43831</v>
      </c>
      <c r="D10" s="82"/>
      <c r="E10" s="82"/>
      <c r="F10" s="82"/>
      <c r="G10" s="82"/>
      <c r="H10" s="82"/>
      <c r="I10" s="82"/>
      <c r="J10" s="82"/>
      <c r="K10" s="83"/>
      <c r="M10" s="13"/>
      <c r="N10" s="81">
        <f>IF($E$3&lt;&gt;"",DATE($E$3,2,1))</f>
        <v>43862</v>
      </c>
      <c r="O10" s="82"/>
      <c r="P10" s="82"/>
      <c r="Q10" s="82"/>
      <c r="R10" s="82"/>
      <c r="S10" s="82"/>
      <c r="T10" s="82"/>
      <c r="U10" s="82"/>
      <c r="V10" s="83"/>
      <c r="X10" s="13"/>
      <c r="Y10" s="81">
        <f>IF($E$3&lt;&gt;"",DATE($E$3,2+1,1))</f>
        <v>43891</v>
      </c>
      <c r="Z10" s="82"/>
      <c r="AA10" s="82"/>
      <c r="AB10" s="82"/>
      <c r="AC10" s="82"/>
      <c r="AD10" s="82"/>
      <c r="AE10" s="82"/>
      <c r="AF10" s="82"/>
      <c r="AG10" s="83"/>
      <c r="AI10" s="13"/>
      <c r="AJ10" s="81">
        <f>IF($E$3&lt;&gt;"",DATE($E$3,3+1,1))</f>
        <v>43922</v>
      </c>
      <c r="AK10" s="82"/>
      <c r="AL10" s="82"/>
      <c r="AM10" s="82"/>
      <c r="AN10" s="82"/>
      <c r="AO10" s="82"/>
      <c r="AP10" s="82"/>
      <c r="AQ10" s="82"/>
      <c r="AR10" s="83"/>
      <c r="AT10" s="13"/>
      <c r="AU10" s="81">
        <f>IF($E$3&lt;&gt;"",DATE($E$3,4+1,1))</f>
        <v>43952</v>
      </c>
      <c r="AV10" s="82"/>
      <c r="AW10" s="82"/>
      <c r="AX10" s="82"/>
      <c r="AY10" s="82"/>
      <c r="AZ10" s="82"/>
      <c r="BA10" s="82"/>
      <c r="BB10" s="82"/>
      <c r="BC10" s="83"/>
      <c r="BE10" s="13"/>
      <c r="BF10" s="81">
        <f>IF($E$3&lt;&gt;"",DATE($E$3,5+1,1))</f>
        <v>43983</v>
      </c>
      <c r="BG10" s="82"/>
      <c r="BH10" s="82"/>
      <c r="BI10" s="82"/>
      <c r="BJ10" s="82"/>
      <c r="BK10" s="82"/>
      <c r="BL10" s="82"/>
      <c r="BM10" s="82"/>
      <c r="BN10" s="83"/>
      <c r="BP10" s="13"/>
      <c r="BQ10" s="81">
        <f>IF($E$3&lt;&gt;"",DATE($E$3,6+1,1))</f>
        <v>44013</v>
      </c>
      <c r="BR10" s="82"/>
      <c r="BS10" s="82"/>
      <c r="BT10" s="82"/>
      <c r="BU10" s="82"/>
      <c r="BV10" s="82"/>
      <c r="BW10" s="82"/>
      <c r="BX10" s="82"/>
      <c r="BY10" s="83"/>
      <c r="CA10" s="13"/>
      <c r="CB10" s="81">
        <f>IF($E$3&lt;&gt;"",DATE($E$3,7+1,1))</f>
        <v>44044</v>
      </c>
      <c r="CC10" s="82"/>
      <c r="CD10" s="82"/>
      <c r="CE10" s="82"/>
      <c r="CF10" s="82"/>
      <c r="CG10" s="82"/>
      <c r="CH10" s="82"/>
      <c r="CI10" s="82"/>
      <c r="CJ10" s="83"/>
      <c r="CL10" s="13"/>
      <c r="CM10" s="81">
        <f>IF($E$3&lt;&gt;"",DATE($E$3,8+1,1))</f>
        <v>44075</v>
      </c>
      <c r="CN10" s="82"/>
      <c r="CO10" s="82"/>
      <c r="CP10" s="82"/>
      <c r="CQ10" s="82"/>
      <c r="CR10" s="82"/>
      <c r="CS10" s="82"/>
      <c r="CT10" s="82"/>
      <c r="CU10" s="83"/>
      <c r="CW10" s="13"/>
      <c r="CX10" s="81">
        <f>IF($E$3&lt;&gt;"",DATE($E$3,9+1,1))</f>
        <v>44105</v>
      </c>
      <c r="CY10" s="82"/>
      <c r="CZ10" s="82"/>
      <c r="DA10" s="82"/>
      <c r="DB10" s="82"/>
      <c r="DC10" s="82"/>
      <c r="DD10" s="82"/>
      <c r="DE10" s="82"/>
      <c r="DF10" s="83"/>
      <c r="DH10" s="13"/>
      <c r="DI10" s="81">
        <f>IF($E$3&lt;&gt;"",DATE($E$3,10+1,1))</f>
        <v>44136</v>
      </c>
      <c r="DJ10" s="82"/>
      <c r="DK10" s="82"/>
      <c r="DL10" s="82"/>
      <c r="DM10" s="82"/>
      <c r="DN10" s="82"/>
      <c r="DO10" s="82"/>
      <c r="DP10" s="82"/>
      <c r="DQ10" s="83"/>
      <c r="DS10" s="13"/>
      <c r="DT10" s="81">
        <f>IF($E$3&lt;&gt;"",DATE($E$3,11+1,1))</f>
        <v>44166</v>
      </c>
      <c r="DU10" s="82"/>
      <c r="DV10" s="82"/>
      <c r="DW10" s="82"/>
      <c r="DX10" s="82"/>
      <c r="DY10" s="82"/>
      <c r="DZ10" s="82"/>
      <c r="EA10" s="82"/>
      <c r="EB10" s="83"/>
    </row>
    <row r="11" spans="1:132" ht="15" thickBot="1" x14ac:dyDescent="0.35">
      <c r="B11" s="10"/>
      <c r="C11" s="84" t="s">
        <v>25</v>
      </c>
      <c r="D11" s="85"/>
      <c r="E11" s="11" t="s">
        <v>16</v>
      </c>
      <c r="F11" s="12" t="s">
        <v>17</v>
      </c>
      <c r="G11" s="12" t="s">
        <v>18</v>
      </c>
      <c r="H11" s="12" t="s">
        <v>19</v>
      </c>
      <c r="I11" s="12" t="s">
        <v>20</v>
      </c>
      <c r="J11" s="72" t="s">
        <v>21</v>
      </c>
      <c r="K11" s="73" t="s">
        <v>22</v>
      </c>
      <c r="M11" s="10"/>
      <c r="N11" s="84" t="s">
        <v>25</v>
      </c>
      <c r="O11" s="85"/>
      <c r="P11" s="11" t="s">
        <v>16</v>
      </c>
      <c r="Q11" s="12" t="s">
        <v>17</v>
      </c>
      <c r="R11" s="12" t="s">
        <v>18</v>
      </c>
      <c r="S11" s="12" t="s">
        <v>19</v>
      </c>
      <c r="T11" s="12" t="s">
        <v>20</v>
      </c>
      <c r="U11" s="72" t="s">
        <v>21</v>
      </c>
      <c r="V11" s="55" t="s">
        <v>22</v>
      </c>
      <c r="X11" s="10"/>
      <c r="Y11" s="84" t="s">
        <v>25</v>
      </c>
      <c r="Z11" s="85"/>
      <c r="AA11" s="11" t="s">
        <v>16</v>
      </c>
      <c r="AB11" s="12" t="s">
        <v>17</v>
      </c>
      <c r="AC11" s="12" t="s">
        <v>18</v>
      </c>
      <c r="AD11" s="12" t="s">
        <v>19</v>
      </c>
      <c r="AE11" s="12" t="s">
        <v>20</v>
      </c>
      <c r="AF11" s="72" t="s">
        <v>21</v>
      </c>
      <c r="AG11" s="73" t="s">
        <v>22</v>
      </c>
      <c r="AI11" s="10"/>
      <c r="AJ11" s="84" t="s">
        <v>25</v>
      </c>
      <c r="AK11" s="85"/>
      <c r="AL11" s="11" t="s">
        <v>16</v>
      </c>
      <c r="AM11" s="12" t="s">
        <v>17</v>
      </c>
      <c r="AN11" s="12" t="s">
        <v>18</v>
      </c>
      <c r="AO11" s="12" t="s">
        <v>19</v>
      </c>
      <c r="AP11" s="12" t="s">
        <v>20</v>
      </c>
      <c r="AQ11" s="54" t="s">
        <v>21</v>
      </c>
      <c r="AR11" s="73" t="s">
        <v>22</v>
      </c>
      <c r="AT11" s="10"/>
      <c r="AU11" s="84" t="s">
        <v>25</v>
      </c>
      <c r="AV11" s="85"/>
      <c r="AW11" s="11" t="s">
        <v>16</v>
      </c>
      <c r="AX11" s="12" t="s">
        <v>17</v>
      </c>
      <c r="AY11" s="12" t="s">
        <v>18</v>
      </c>
      <c r="AZ11" s="12" t="s">
        <v>19</v>
      </c>
      <c r="BA11" s="12" t="s">
        <v>20</v>
      </c>
      <c r="BB11" s="72" t="s">
        <v>21</v>
      </c>
      <c r="BC11" s="73" t="s">
        <v>22</v>
      </c>
      <c r="BE11" s="10"/>
      <c r="BF11" s="84" t="s">
        <v>25</v>
      </c>
      <c r="BG11" s="85"/>
      <c r="BH11" s="11" t="s">
        <v>16</v>
      </c>
      <c r="BI11" s="12" t="s">
        <v>17</v>
      </c>
      <c r="BJ11" s="12" t="s">
        <v>18</v>
      </c>
      <c r="BK11" s="12" t="s">
        <v>19</v>
      </c>
      <c r="BL11" s="12" t="s">
        <v>20</v>
      </c>
      <c r="BM11" s="72" t="s">
        <v>21</v>
      </c>
      <c r="BN11" s="73" t="s">
        <v>22</v>
      </c>
      <c r="BP11" s="10"/>
      <c r="BQ11" s="84" t="s">
        <v>25</v>
      </c>
      <c r="BR11" s="85"/>
      <c r="BS11" s="11" t="s">
        <v>16</v>
      </c>
      <c r="BT11" s="12" t="s">
        <v>17</v>
      </c>
      <c r="BU11" s="12" t="s">
        <v>18</v>
      </c>
      <c r="BV11" s="12" t="s">
        <v>19</v>
      </c>
      <c r="BW11" s="12" t="s">
        <v>20</v>
      </c>
      <c r="BX11" s="72" t="s">
        <v>21</v>
      </c>
      <c r="BY11" s="73" t="s">
        <v>22</v>
      </c>
      <c r="CA11" s="10"/>
      <c r="CB11" s="84" t="s">
        <v>25</v>
      </c>
      <c r="CC11" s="85"/>
      <c r="CD11" s="11" t="s">
        <v>16</v>
      </c>
      <c r="CE11" s="12" t="s">
        <v>17</v>
      </c>
      <c r="CF11" s="12" t="s">
        <v>18</v>
      </c>
      <c r="CG11" s="12" t="s">
        <v>19</v>
      </c>
      <c r="CH11" s="12" t="s">
        <v>20</v>
      </c>
      <c r="CI11" s="54" t="s">
        <v>21</v>
      </c>
      <c r="CJ11" s="73" t="s">
        <v>22</v>
      </c>
      <c r="CL11" s="10"/>
      <c r="CM11" s="84" t="s">
        <v>25</v>
      </c>
      <c r="CN11" s="85"/>
      <c r="CO11" s="11" t="s">
        <v>16</v>
      </c>
      <c r="CP11" s="12" t="s">
        <v>17</v>
      </c>
      <c r="CQ11" s="12" t="s">
        <v>18</v>
      </c>
      <c r="CR11" s="12" t="s">
        <v>19</v>
      </c>
      <c r="CS11" s="12" t="s">
        <v>20</v>
      </c>
      <c r="CT11" s="54" t="s">
        <v>21</v>
      </c>
      <c r="CU11" s="73" t="s">
        <v>22</v>
      </c>
      <c r="CW11" s="10"/>
      <c r="CX11" s="84" t="s">
        <v>25</v>
      </c>
      <c r="CY11" s="85"/>
      <c r="CZ11" s="11" t="s">
        <v>16</v>
      </c>
      <c r="DA11" s="12" t="s">
        <v>17</v>
      </c>
      <c r="DB11" s="12" t="s">
        <v>18</v>
      </c>
      <c r="DC11" s="12" t="s">
        <v>19</v>
      </c>
      <c r="DD11" s="12" t="s">
        <v>20</v>
      </c>
      <c r="DE11" s="72" t="s">
        <v>21</v>
      </c>
      <c r="DF11" s="73" t="s">
        <v>22</v>
      </c>
      <c r="DH11" s="10"/>
      <c r="DI11" s="84" t="s">
        <v>25</v>
      </c>
      <c r="DJ11" s="85"/>
      <c r="DK11" s="11" t="s">
        <v>16</v>
      </c>
      <c r="DL11" s="12" t="s">
        <v>17</v>
      </c>
      <c r="DM11" s="12" t="s">
        <v>18</v>
      </c>
      <c r="DN11" s="12" t="s">
        <v>19</v>
      </c>
      <c r="DO11" s="12" t="s">
        <v>20</v>
      </c>
      <c r="DP11" s="72" t="s">
        <v>21</v>
      </c>
      <c r="DQ11" s="55" t="s">
        <v>22</v>
      </c>
      <c r="DS11" s="10"/>
      <c r="DT11" s="84" t="s">
        <v>25</v>
      </c>
      <c r="DU11" s="85"/>
      <c r="DV11" s="11" t="s">
        <v>16</v>
      </c>
      <c r="DW11" s="12" t="s">
        <v>17</v>
      </c>
      <c r="DX11" s="12" t="s">
        <v>18</v>
      </c>
      <c r="DY11" s="12" t="s">
        <v>19</v>
      </c>
      <c r="DZ11" s="12" t="s">
        <v>20</v>
      </c>
      <c r="EA11" s="72" t="s">
        <v>21</v>
      </c>
      <c r="EB11" s="73" t="s">
        <v>22</v>
      </c>
    </row>
    <row r="12" spans="1:132" x14ac:dyDescent="0.3">
      <c r="A12" s="24"/>
      <c r="B12" s="14">
        <f>IFERROR(_xlfn.ISOWEEKNUM(C12),"")</f>
        <v>1</v>
      </c>
      <c r="C12" s="66">
        <f>DATE($E$3,1,1)</f>
        <v>43831</v>
      </c>
      <c r="D12" s="62">
        <f>DATE($E$3,1,1)</f>
        <v>43831</v>
      </c>
      <c r="E12" s="27" t="s">
        <v>24</v>
      </c>
      <c r="F12" s="28"/>
      <c r="G12" s="29" t="str">
        <f>IF(WEEKDAY($D12,2)&gt;6,"",IF(E12="ferié","",(F12-E12)))</f>
        <v/>
      </c>
      <c r="H12" s="30"/>
      <c r="I12" s="51">
        <f>IF(G12&lt;1,G12-H12,0)</f>
        <v>0</v>
      </c>
      <c r="J12" s="77">
        <f>IF(WEEKDAY(C12,2)=7,SUMPRODUCT((_xlfn.ISOWEEKNUM(C$12:C$42)=_xlfn.ISOWEEKNUM(C12))*(I$12:I$42)),0)</f>
        <v>0</v>
      </c>
      <c r="K12" s="57">
        <f>IF(J12&gt;G12,J12-$G$2,0)+SUM(L12:L17)</f>
        <v>0</v>
      </c>
      <c r="M12" s="14">
        <f>IFERROR(_xlfn.ISOWEEKNUM(N12),"")</f>
        <v>5</v>
      </c>
      <c r="N12" s="63">
        <f>DATE($E$3,2,1)</f>
        <v>43862</v>
      </c>
      <c r="O12" s="62">
        <f>DATE($E$3,2,1)</f>
        <v>43862</v>
      </c>
      <c r="P12" s="27">
        <v>0.375</v>
      </c>
      <c r="Q12" s="28">
        <v>0.75</v>
      </c>
      <c r="R12" s="29">
        <v>0.375</v>
      </c>
      <c r="S12" s="30">
        <v>4.1666666666666664E-2</v>
      </c>
      <c r="T12" s="51">
        <f>IF(R12&lt;1,R12-S12,"")</f>
        <v>0.33333333333333331</v>
      </c>
      <c r="U12" s="79">
        <f>IF(WEEKDAY(N12,2)=7,SUMPRODUCT((_xlfn.ISOWEEKNUM(fevrier)=_xlfn.ISOWEEKNUM(N12))*(reelFevrier))+SUMPRODUCT((_xlfn.ISOWEEKNUM(C$36:C$42)=_xlfn.ISOWEEKNUM(N12))*(I$36:I$42)),0)</f>
        <v>0</v>
      </c>
      <c r="V12" s="74"/>
      <c r="X12" s="14">
        <f>IFERROR(_xlfn.ISOWEEKNUM(Y12),"")</f>
        <v>9</v>
      </c>
      <c r="Y12" s="63">
        <f>DATE($E$3,3,1)</f>
        <v>43891</v>
      </c>
      <c r="Z12" s="69">
        <f>DATE($E$3,3,1)</f>
        <v>43891</v>
      </c>
      <c r="AA12" s="27"/>
      <c r="AB12" s="28"/>
      <c r="AC12" s="29">
        <f>IF(AA12="repo","",IF(AA12="ferié","",(AB12-AA12)))</f>
        <v>0</v>
      </c>
      <c r="AD12" s="30"/>
      <c r="AE12" s="51">
        <f>IF(AC12&lt;1,AC12-AD12,"")</f>
        <v>0</v>
      </c>
      <c r="AF12" s="79">
        <f>IF(WEEKDAY(Y12,2)=7,SUMPRODUCT((_xlfn.ISOWEEKNUM(Y$12:Y$42)=_xlfn.ISOWEEKNUM(Y12))*(AE$12:AE$42))+SUMPRODUCT((_xlfn.ISOWEEKNUM(N$34:N$40)=_xlfn.ISOWEEKNUM(Y12))*(T$34:T$40)),0)</f>
        <v>1.6666666666666665</v>
      </c>
      <c r="AG12" s="57"/>
      <c r="AI12" s="14">
        <f>IFERROR(_xlfn.ISOWEEKNUM(AJ12),"")</f>
        <v>14</v>
      </c>
      <c r="AJ12" s="6">
        <f>DATE($E$3,4,1)</f>
        <v>43922</v>
      </c>
      <c r="AK12" s="7">
        <f>DATE($E$3,4,1)</f>
        <v>43922</v>
      </c>
      <c r="AL12" s="27"/>
      <c r="AM12" s="28"/>
      <c r="AN12" s="29">
        <f>IF(AL12="repo","",IF(AL12="ferié","",(AM12-AL12)))</f>
        <v>0</v>
      </c>
      <c r="AO12" s="30"/>
      <c r="AP12" s="51">
        <f>IF(AN12&lt;1,AN12-AO12,"")</f>
        <v>0</v>
      </c>
      <c r="AQ12" s="75">
        <f>SUM(AP12:AP17)</f>
        <v>0</v>
      </c>
      <c r="AR12" s="57" t="e">
        <f>IF(AQ12&gt;#REF!,AQ12-$G$2,0)+SUM(AS12:AS17)</f>
        <v>#REF!</v>
      </c>
      <c r="AT12" s="14">
        <f>IFERROR(_xlfn.ISOWEEKNUM(AU12),"")</f>
        <v>18</v>
      </c>
      <c r="AU12" s="6">
        <f>DATE($E$3,5,1)</f>
        <v>43952</v>
      </c>
      <c r="AV12" s="7">
        <f>DATE($E$3,5,1)</f>
        <v>43952</v>
      </c>
      <c r="AW12" s="27"/>
      <c r="AX12" s="28"/>
      <c r="AY12" s="29">
        <f>IF(AW12="repo","",IF(AW12="ferié","",(AX12-AW12)))</f>
        <v>0</v>
      </c>
      <c r="AZ12" s="30"/>
      <c r="BA12" s="51">
        <f>IF(AY12&lt;1,AY12-AZ12,"")</f>
        <v>0</v>
      </c>
      <c r="BB12" s="56">
        <f>SUM(BA12:BA17)</f>
        <v>0</v>
      </c>
      <c r="BC12" s="57" t="e">
        <f>IF(BB12&gt;#REF!,BB12-$G$2,0)+SUM(BD12:BD17)</f>
        <v>#REF!</v>
      </c>
      <c r="BE12" s="14">
        <f>IFERROR(_xlfn.ISOWEEKNUM(BG12),"")</f>
        <v>23</v>
      </c>
      <c r="BF12" s="6">
        <f>BG12</f>
        <v>43983</v>
      </c>
      <c r="BG12" s="7">
        <f>DATE($E$3,6,1)</f>
        <v>43983</v>
      </c>
      <c r="BH12" s="27"/>
      <c r="BI12" s="28"/>
      <c r="BJ12" s="29">
        <f t="shared" ref="BJ12:BJ41" si="0">IF(BH12="repo","",IF(BH12="ferié","",(BI12-BH12)))</f>
        <v>0</v>
      </c>
      <c r="BK12" s="30"/>
      <c r="BL12" s="51">
        <f t="shared" ref="BL12:BL41" si="1">IF(BJ12&lt;1,BJ12-BK12,"")</f>
        <v>0</v>
      </c>
      <c r="BM12" s="56">
        <f t="shared" ref="BM12" si="2">SUM(BL12:BL17)</f>
        <v>0</v>
      </c>
      <c r="BN12" s="57" t="e">
        <f>IF(BM12&gt;#REF!,BM12-$G$2,0)+SUM(BO12:BO17)</f>
        <v>#REF!</v>
      </c>
      <c r="BP12" s="14">
        <f t="shared" ref="BP12:BP27" si="3">IFERROR(_xlfn.ISOWEEKNUM(BQ12),"")</f>
        <v>27</v>
      </c>
      <c r="BQ12" s="6">
        <f>BR12</f>
        <v>44013</v>
      </c>
      <c r="BR12" s="7">
        <f>DATE($E$3,7,1)</f>
        <v>44013</v>
      </c>
      <c r="BS12" s="27"/>
      <c r="BT12" s="28"/>
      <c r="BU12" s="29">
        <f t="shared" ref="BU12:BU42" si="4">IF(BS12="repo","",IF(BS12="ferié","",(BT12-BS12)))</f>
        <v>0</v>
      </c>
      <c r="BV12" s="30"/>
      <c r="BW12" s="51">
        <f t="shared" ref="BW12:BW42" si="5">IF(BU12&lt;1,BU12-BV12,"")</f>
        <v>0</v>
      </c>
      <c r="BX12" s="56">
        <f t="shared" ref="BX12" si="6">SUM(BW12:BW17)</f>
        <v>0</v>
      </c>
      <c r="BY12" s="57" t="e">
        <f>IF(BX12&gt;#REF!,BX12-$G$2,0)+SUM(BZ12:BZ17)</f>
        <v>#REF!</v>
      </c>
      <c r="CA12" s="14">
        <f t="shared" ref="CA12" si="7">IFERROR(_xlfn.ISOWEEKNUM(CB12),"")</f>
        <v>31</v>
      </c>
      <c r="CB12" s="6">
        <f>CC12</f>
        <v>44044</v>
      </c>
      <c r="CC12" s="7">
        <f>DATE($E$3,8,1)</f>
        <v>44044</v>
      </c>
      <c r="CD12" s="27"/>
      <c r="CE12" s="28"/>
      <c r="CF12" s="29">
        <f t="shared" ref="CF12:CF42" si="8">IF(CD12="repo","",IF(CD12="ferié","",(CE12-CD12)))</f>
        <v>0</v>
      </c>
      <c r="CG12" s="30"/>
      <c r="CH12" s="51">
        <f t="shared" ref="CH12:CH42" si="9">IF(CF12&lt;1,CF12-CG12,"")</f>
        <v>0</v>
      </c>
      <c r="CI12" s="75">
        <f t="shared" ref="CI12" si="10">SUM(CH12:CH17)</f>
        <v>0</v>
      </c>
      <c r="CJ12" s="57" t="e">
        <f>IF(CI12&gt;#REF!,CI12-$G$2,0)+SUM(CK12:CK17)</f>
        <v>#REF!</v>
      </c>
      <c r="CL12" s="14">
        <f t="shared" ref="CL12" si="11">IFERROR(_xlfn.ISOWEEKNUM(CM12),"")</f>
        <v>36</v>
      </c>
      <c r="CM12" s="6">
        <f>CN12</f>
        <v>44075</v>
      </c>
      <c r="CN12" s="7">
        <f>DATE($E$3,9,1)</f>
        <v>44075</v>
      </c>
      <c r="CO12" s="27"/>
      <c r="CP12" s="28"/>
      <c r="CQ12" s="29">
        <f t="shared" ref="CQ12:CQ41" si="12">IF(CO12="repo","",IF(CO12="ferié","",(CP12-CO12)))</f>
        <v>0</v>
      </c>
      <c r="CR12" s="30"/>
      <c r="CS12" s="51">
        <f t="shared" ref="CS12:CS41" si="13">IF(CQ12&lt;1,CQ12-CR12,"")</f>
        <v>0</v>
      </c>
      <c r="CT12" s="75">
        <f t="shared" ref="CT12" si="14">SUM(CS12:CS17)</f>
        <v>0</v>
      </c>
      <c r="CU12" s="57" t="e">
        <f>IF(CT12&gt;#REF!,CT12-$G$2,0)+SUM(CV12:CV17)</f>
        <v>#REF!</v>
      </c>
      <c r="CW12" s="14">
        <f t="shared" ref="CW12" si="15">IFERROR(_xlfn.ISOWEEKNUM(CX12),"")</f>
        <v>40</v>
      </c>
      <c r="CX12" s="6">
        <f>CY12</f>
        <v>44105</v>
      </c>
      <c r="CY12" s="7">
        <f>DATE($E$3,10,1)</f>
        <v>44105</v>
      </c>
      <c r="CZ12" s="27"/>
      <c r="DA12" s="28"/>
      <c r="DB12" s="29">
        <f t="shared" ref="DB12:DB42" si="16">IF(CZ12="repo","",IF(CZ12="ferié","",(DA12-CZ12)))</f>
        <v>0</v>
      </c>
      <c r="DC12" s="30"/>
      <c r="DD12" s="51">
        <f t="shared" ref="DD12:DD42" si="17">IF(DB12&lt;1,DB12-DC12,"")</f>
        <v>0</v>
      </c>
      <c r="DE12" s="56">
        <f t="shared" ref="DE12" si="18">SUM(DD12:DD17)</f>
        <v>0</v>
      </c>
      <c r="DF12" s="57" t="e">
        <f>IF(DE12&gt;#REF!,DE12-$G$2,0)+SUM(DG12:DG17)</f>
        <v>#REF!</v>
      </c>
      <c r="DH12" s="14">
        <f t="shared" ref="DH12" si="19">IFERROR(_xlfn.ISOWEEKNUM(DI12),"")</f>
        <v>44</v>
      </c>
      <c r="DI12" s="6">
        <f>DATE($E$3,11,1)</f>
        <v>44136</v>
      </c>
      <c r="DJ12" s="7">
        <f>DATE($E$3,11,1)</f>
        <v>44136</v>
      </c>
      <c r="DK12" s="27"/>
      <c r="DL12" s="28"/>
      <c r="DM12" s="29">
        <f t="shared" ref="DM12:DM41" si="20">IF(DK12="repo","",IF(DK12="ferié","",(DL12-DK12)))</f>
        <v>0</v>
      </c>
      <c r="DN12" s="30"/>
      <c r="DO12" s="51">
        <f t="shared" ref="DO12:DO41" si="21">IF(DM12&lt;1,DM12-DN12,"")</f>
        <v>0</v>
      </c>
      <c r="DP12" s="56">
        <f t="shared" ref="DP12" si="22">SUM(DO12:DO17)</f>
        <v>0</v>
      </c>
      <c r="DQ12" s="74" t="e">
        <f>IF(DP12&gt;#REF!,DP12-$G$2,0)+SUM(DR12:DR17)</f>
        <v>#REF!</v>
      </c>
      <c r="DS12" s="14">
        <f t="shared" ref="DS12" si="23">IFERROR(_xlfn.ISOWEEKNUM(DT12),"")</f>
        <v>49</v>
      </c>
      <c r="DT12" s="6">
        <f>DATE($E$3,12,1)</f>
        <v>44166</v>
      </c>
      <c r="DU12" s="7">
        <f>DATE($E$3,12,1)</f>
        <v>44166</v>
      </c>
      <c r="DV12" s="27"/>
      <c r="DW12" s="28"/>
      <c r="DX12" s="29">
        <f t="shared" ref="DX12:DX42" si="24">IF(DV12="repo","",IF(DV12="ferié","",(DW12-DV12)))</f>
        <v>0</v>
      </c>
      <c r="DY12" s="30"/>
      <c r="DZ12" s="51">
        <f t="shared" ref="DZ12:DZ42" si="25">IF(DX12&lt;1,DX12-DY12,"")</f>
        <v>0</v>
      </c>
      <c r="EA12" s="56">
        <f t="shared" ref="EA12" si="26">SUM(DZ12:DZ17)</f>
        <v>0</v>
      </c>
      <c r="EB12" s="57" t="e">
        <f>IF(EA12&gt;#REF!,EA12-$G$2,0)+SUM(#REF!)</f>
        <v>#REF!</v>
      </c>
    </row>
    <row r="13" spans="1:132" x14ac:dyDescent="0.3">
      <c r="A13" s="24"/>
      <c r="B13" s="14">
        <f t="shared" ref="B13:B42" si="27">IFERROR(_xlfn.ISOWEEKNUM(C13),"")</f>
        <v>1</v>
      </c>
      <c r="C13" s="67">
        <f>C12+1</f>
        <v>43832</v>
      </c>
      <c r="D13" s="62">
        <f>DATE($E$3,1,2)</f>
        <v>43832</v>
      </c>
      <c r="E13" s="4">
        <v>0.375</v>
      </c>
      <c r="F13" s="3">
        <v>0.75</v>
      </c>
      <c r="G13" s="5">
        <f>IF(WEEKDAY($D13,2)&gt;6,"",IF(E13="ferié","",(F13-E13)))</f>
        <v>0.375</v>
      </c>
      <c r="H13" s="5">
        <v>4.1666666666666664E-2</v>
      </c>
      <c r="I13" s="52">
        <f t="shared" ref="I13:I42" si="28">IF(G13&lt;1,G13-H13,0)</f>
        <v>0.33333333333333331</v>
      </c>
      <c r="J13" s="77">
        <f t="shared" ref="J13:J42" si="29">IF(WEEKDAY(C13,2)=7,SUMPRODUCT((_xlfn.ISOWEEKNUM(C$12:C$42)=_xlfn.ISOWEEKNUM(C13))*(I$12:I$42)),0)</f>
        <v>0</v>
      </c>
      <c r="K13" s="57"/>
      <c r="M13" s="14">
        <f t="shared" ref="M13:M40" si="30">IFERROR(_xlfn.ISOWEEKNUM(N13),"")</f>
        <v>5</v>
      </c>
      <c r="N13" s="64">
        <f>N12+1</f>
        <v>43863</v>
      </c>
      <c r="O13" s="62">
        <f>DATE($E$3,2,2)</f>
        <v>43863</v>
      </c>
      <c r="P13" s="4">
        <v>0.375</v>
      </c>
      <c r="Q13" s="3">
        <v>0.75</v>
      </c>
      <c r="R13" s="5">
        <v>0.375</v>
      </c>
      <c r="S13" s="5">
        <v>4.1666666666666664E-2</v>
      </c>
      <c r="T13" s="52">
        <f>IF(R13&lt;1,R13-S13,"")</f>
        <v>0.33333333333333331</v>
      </c>
      <c r="U13" s="79">
        <f ca="1">IF(WEEKDAY(N13,2)=7,SUMPRODUCT((_xlfn.ISOWEEKNUM(fevrier)=_xlfn.ISOWEEKNUM(N13))*(reelFevrier))+SUMPRODUCT((_xlfn.ISOWEEKNUM(C$36:C$42)=_xlfn.ISOWEEKNUM(N13))*(I$36:I$42)),0)</f>
        <v>2</v>
      </c>
      <c r="V13" s="57"/>
      <c r="X13" s="14">
        <f t="shared" ref="X13:X42" si="31">IFERROR(_xlfn.ISOWEEKNUM(Y13),"")</f>
        <v>10</v>
      </c>
      <c r="Y13" s="64">
        <f>Y12+1</f>
        <v>43892</v>
      </c>
      <c r="Z13" s="69">
        <f>Z12+1</f>
        <v>43892</v>
      </c>
      <c r="AA13" s="4">
        <v>0.375</v>
      </c>
      <c r="AB13" s="3">
        <v>0.75</v>
      </c>
      <c r="AC13" s="5">
        <v>0.375</v>
      </c>
      <c r="AD13" s="5">
        <v>4.1666666666666664E-2</v>
      </c>
      <c r="AE13" s="52">
        <f>IF(AC13&lt;1,AC13-AD13,"")</f>
        <v>0.33333333333333331</v>
      </c>
      <c r="AF13" s="79">
        <f t="shared" ref="AF13:AF18" si="32">IF(WEEKDAY(Y13,2)=7,SUMPRODUCT((_xlfn.ISOWEEKNUM(Y$12:Y$42)=_xlfn.ISOWEEKNUM(Y13))*(AE$12:AE$42))+SUMPRODUCT((_xlfn.ISOWEEKNUM(N$34:N$40)=_xlfn.ISOWEEKNUM(Y13))*(T$34:T$40)),0)</f>
        <v>0</v>
      </c>
      <c r="AG13" s="57"/>
      <c r="AI13" s="14">
        <f t="shared" ref="AI13:AI41" si="33">IFERROR(_xlfn.ISOWEEKNUM(AJ13),"")</f>
        <v>14</v>
      </c>
      <c r="AJ13" s="6">
        <f>AJ12+1</f>
        <v>43923</v>
      </c>
      <c r="AK13" s="7">
        <f>AK12+1</f>
        <v>43923</v>
      </c>
      <c r="AL13" s="4"/>
      <c r="AM13" s="3"/>
      <c r="AN13" s="5">
        <f t="shared" ref="AN13:AN41" si="34">IF(AL13="repo","",IF(AL13="ferié","",(AM13-AL13)))</f>
        <v>0</v>
      </c>
      <c r="AO13" s="5"/>
      <c r="AP13" s="52">
        <f>IF(AN13&lt;1,AN13-AO13,"")</f>
        <v>0</v>
      </c>
      <c r="AQ13" s="56"/>
      <c r="AR13" s="57"/>
      <c r="AT13" s="14">
        <f t="shared" ref="AT13:AT42" si="35">IFERROR(_xlfn.ISOWEEKNUM(AU13),"")</f>
        <v>18</v>
      </c>
      <c r="AU13" s="6">
        <f>AU12+1</f>
        <v>43953</v>
      </c>
      <c r="AV13" s="7">
        <f>AV12+1</f>
        <v>43953</v>
      </c>
      <c r="AW13" s="4"/>
      <c r="AX13" s="3"/>
      <c r="AY13" s="5">
        <f t="shared" ref="AY13:AY42" si="36">IF(AW13="repo","",IF(AW13="ferié","",(AX13-AW13)))</f>
        <v>0</v>
      </c>
      <c r="AZ13" s="5"/>
      <c r="BA13" s="52">
        <f>IF(AY13&lt;1,AY13-AZ13,"")</f>
        <v>0</v>
      </c>
      <c r="BB13" s="56"/>
      <c r="BC13" s="57"/>
      <c r="BE13" s="14">
        <f t="shared" ref="BE13:BE27" si="37">IFERROR(_xlfn.ISOWEEKNUM(BF13),"")</f>
        <v>23</v>
      </c>
      <c r="BF13" s="6">
        <f t="shared" ref="BF13:BG13" si="38">BF12+1</f>
        <v>43984</v>
      </c>
      <c r="BG13" s="7">
        <f t="shared" si="38"/>
        <v>43984</v>
      </c>
      <c r="BH13" s="4"/>
      <c r="BI13" s="3"/>
      <c r="BJ13" s="5">
        <f t="shared" si="0"/>
        <v>0</v>
      </c>
      <c r="BK13" s="5"/>
      <c r="BL13" s="52">
        <f t="shared" si="1"/>
        <v>0</v>
      </c>
      <c r="BM13" s="56"/>
      <c r="BN13" s="57"/>
      <c r="BP13" s="14">
        <f t="shared" si="3"/>
        <v>27</v>
      </c>
      <c r="BQ13" s="6">
        <f t="shared" ref="BQ13:BR13" si="39">BQ12+1</f>
        <v>44014</v>
      </c>
      <c r="BR13" s="7">
        <f t="shared" si="39"/>
        <v>44014</v>
      </c>
      <c r="BS13" s="4"/>
      <c r="BT13" s="3"/>
      <c r="BU13" s="5">
        <f t="shared" si="4"/>
        <v>0</v>
      </c>
      <c r="BV13" s="5"/>
      <c r="BW13" s="52">
        <f t="shared" si="5"/>
        <v>0</v>
      </c>
      <c r="BX13" s="56"/>
      <c r="BY13" s="57"/>
      <c r="CA13" s="14">
        <f t="shared" ref="CA13" si="40">IFERROR(_xlfn.ISOWEEKNUM(CB13),"")</f>
        <v>31</v>
      </c>
      <c r="CB13" s="6">
        <f t="shared" ref="CB13" si="41">CB12+1</f>
        <v>44045</v>
      </c>
      <c r="CC13" s="7">
        <f t="shared" ref="CC13" si="42">CC12+1</f>
        <v>44045</v>
      </c>
      <c r="CD13" s="4"/>
      <c r="CE13" s="3"/>
      <c r="CF13" s="5">
        <f t="shared" si="8"/>
        <v>0</v>
      </c>
      <c r="CG13" s="5"/>
      <c r="CH13" s="52">
        <f t="shared" si="9"/>
        <v>0</v>
      </c>
      <c r="CI13" s="56"/>
      <c r="CJ13" s="57"/>
      <c r="CL13" s="14">
        <f t="shared" ref="CL13" si="43">IFERROR(_xlfn.ISOWEEKNUM(CM13),"")</f>
        <v>36</v>
      </c>
      <c r="CM13" s="6">
        <f t="shared" ref="CM13" si="44">CM12+1</f>
        <v>44076</v>
      </c>
      <c r="CN13" s="7">
        <f t="shared" ref="CN13" si="45">CN12+1</f>
        <v>44076</v>
      </c>
      <c r="CO13" s="4"/>
      <c r="CP13" s="3"/>
      <c r="CQ13" s="5">
        <f t="shared" si="12"/>
        <v>0</v>
      </c>
      <c r="CR13" s="5"/>
      <c r="CS13" s="52">
        <f t="shared" si="13"/>
        <v>0</v>
      </c>
      <c r="CT13" s="56"/>
      <c r="CU13" s="57"/>
      <c r="CW13" s="14">
        <f t="shared" ref="CW13" si="46">IFERROR(_xlfn.ISOWEEKNUM(CX13),"")</f>
        <v>40</v>
      </c>
      <c r="CX13" s="6">
        <f t="shared" ref="CX13" si="47">CX12+1</f>
        <v>44106</v>
      </c>
      <c r="CY13" s="7">
        <f t="shared" ref="CY13" si="48">CY12+1</f>
        <v>44106</v>
      </c>
      <c r="CZ13" s="4"/>
      <c r="DA13" s="3"/>
      <c r="DB13" s="5">
        <f t="shared" si="16"/>
        <v>0</v>
      </c>
      <c r="DC13" s="5"/>
      <c r="DD13" s="52">
        <f t="shared" si="17"/>
        <v>0</v>
      </c>
      <c r="DE13" s="56"/>
      <c r="DF13" s="57"/>
      <c r="DH13" s="14">
        <f t="shared" ref="DH13" si="49">IFERROR(_xlfn.ISOWEEKNUM(DI13),"")</f>
        <v>45</v>
      </c>
      <c r="DI13" s="6">
        <f t="shared" ref="DI13" si="50">DI12+1</f>
        <v>44137</v>
      </c>
      <c r="DJ13" s="7">
        <f t="shared" ref="DJ13" si="51">DJ12+1</f>
        <v>44137</v>
      </c>
      <c r="DK13" s="4"/>
      <c r="DL13" s="3"/>
      <c r="DM13" s="5">
        <f t="shared" si="20"/>
        <v>0</v>
      </c>
      <c r="DN13" s="5"/>
      <c r="DO13" s="52">
        <f t="shared" si="21"/>
        <v>0</v>
      </c>
      <c r="DP13" s="56"/>
      <c r="DQ13" s="57"/>
      <c r="DS13" s="14">
        <f t="shared" ref="DS13" si="52">IFERROR(_xlfn.ISOWEEKNUM(DT13),"")</f>
        <v>49</v>
      </c>
      <c r="DT13" s="6">
        <f t="shared" ref="DT13" si="53">DT12+1</f>
        <v>44167</v>
      </c>
      <c r="DU13" s="7">
        <f t="shared" ref="DU13" si="54">DU12+1</f>
        <v>44167</v>
      </c>
      <c r="DV13" s="4"/>
      <c r="DW13" s="3"/>
      <c r="DX13" s="5">
        <f t="shared" si="24"/>
        <v>0</v>
      </c>
      <c r="DY13" s="5"/>
      <c r="DZ13" s="52">
        <f t="shared" si="25"/>
        <v>0</v>
      </c>
      <c r="EA13" s="56"/>
      <c r="EB13" s="57"/>
    </row>
    <row r="14" spans="1:132" x14ac:dyDescent="0.3">
      <c r="A14" s="24"/>
      <c r="B14" s="14">
        <f t="shared" si="27"/>
        <v>1</v>
      </c>
      <c r="C14" s="67">
        <f t="shared" ref="C14:C42" si="55">C13+1</f>
        <v>43833</v>
      </c>
      <c r="D14" s="62">
        <f>DATE($E$3,1,3)</f>
        <v>43833</v>
      </c>
      <c r="E14" s="4"/>
      <c r="F14" s="3"/>
      <c r="G14" s="5"/>
      <c r="H14" s="5"/>
      <c r="I14" s="52">
        <f t="shared" si="28"/>
        <v>0</v>
      </c>
      <c r="J14" s="77">
        <f t="shared" si="29"/>
        <v>0</v>
      </c>
      <c r="K14" s="57"/>
      <c r="M14" s="14">
        <f t="shared" si="30"/>
        <v>6</v>
      </c>
      <c r="N14" s="64">
        <f t="shared" ref="N14:N39" si="56">N13+1</f>
        <v>43864</v>
      </c>
      <c r="O14" s="62">
        <f>DATE($E$3,2,3)</f>
        <v>43864</v>
      </c>
      <c r="P14" s="4">
        <v>0.375</v>
      </c>
      <c r="Q14" s="3">
        <v>0.75</v>
      </c>
      <c r="R14" s="5">
        <v>0.375</v>
      </c>
      <c r="S14" s="5">
        <v>4.1666666666666664E-2</v>
      </c>
      <c r="T14" s="52">
        <f t="shared" ref="T14:T34" si="57">IF(R14&lt;1,R14-S14,"")</f>
        <v>0.33333333333333331</v>
      </c>
      <c r="U14" s="79">
        <f>IF(WEEKDAY(N14,2)=7,SUMPRODUCT((_xlfn.ISOWEEKNUM(fevrier)=_xlfn.ISOWEEKNUM(N14))*(reelFevrier))+SUMPRODUCT((_xlfn.ISOWEEKNUM(C$36:C$42)=_xlfn.ISOWEEKNUM(N14))*(I$36:I$42)),0)</f>
        <v>0</v>
      </c>
      <c r="V14" s="57"/>
      <c r="X14" s="14">
        <f t="shared" si="31"/>
        <v>10</v>
      </c>
      <c r="Y14" s="64">
        <f t="shared" ref="Y14:Y42" si="58">Y13+1</f>
        <v>43893</v>
      </c>
      <c r="Z14" s="69">
        <f t="shared" ref="Z14:Z42" si="59">Z13+1</f>
        <v>43893</v>
      </c>
      <c r="AA14" s="4">
        <v>0.375</v>
      </c>
      <c r="AB14" s="3">
        <v>0.75</v>
      </c>
      <c r="AC14" s="5">
        <v>0.375</v>
      </c>
      <c r="AD14" s="5">
        <v>4.1666666666666664E-2</v>
      </c>
      <c r="AE14" s="52">
        <f t="shared" ref="AE14:AE42" si="60">IF(AC14&lt;1,AC14-AD14,"")</f>
        <v>0.33333333333333331</v>
      </c>
      <c r="AF14" s="79">
        <f t="shared" si="32"/>
        <v>0</v>
      </c>
      <c r="AG14" s="57"/>
      <c r="AI14" s="14">
        <f t="shared" si="33"/>
        <v>14</v>
      </c>
      <c r="AJ14" s="6">
        <f t="shared" ref="AJ14:AK29" si="61">AJ13+1</f>
        <v>43924</v>
      </c>
      <c r="AK14" s="7">
        <f t="shared" si="61"/>
        <v>43924</v>
      </c>
      <c r="AL14" s="4"/>
      <c r="AM14" s="3"/>
      <c r="AN14" s="5">
        <f t="shared" si="34"/>
        <v>0</v>
      </c>
      <c r="AO14" s="5"/>
      <c r="AP14" s="52">
        <f t="shared" ref="AP14:AP41" si="62">IF(AN14&lt;1,AN14-AO14,"")</f>
        <v>0</v>
      </c>
      <c r="AQ14" s="56"/>
      <c r="AR14" s="57"/>
      <c r="AT14" s="14">
        <f t="shared" si="35"/>
        <v>18</v>
      </c>
      <c r="AU14" s="6">
        <f t="shared" ref="AU14:AV14" si="63">AU13+1</f>
        <v>43954</v>
      </c>
      <c r="AV14" s="7">
        <f t="shared" si="63"/>
        <v>43954</v>
      </c>
      <c r="AW14" s="4"/>
      <c r="AX14" s="3"/>
      <c r="AY14" s="5">
        <f t="shared" si="36"/>
        <v>0</v>
      </c>
      <c r="AZ14" s="5"/>
      <c r="BA14" s="52">
        <f t="shared" ref="BA14:BA42" si="64">IF(AY14&lt;1,AY14-AZ14,"")</f>
        <v>0</v>
      </c>
      <c r="BB14" s="56"/>
      <c r="BC14" s="57"/>
      <c r="BE14" s="14">
        <f t="shared" si="37"/>
        <v>23</v>
      </c>
      <c r="BF14" s="6">
        <f t="shared" ref="BF14:BG14" si="65">BF13+1</f>
        <v>43985</v>
      </c>
      <c r="BG14" s="7">
        <f t="shared" si="65"/>
        <v>43985</v>
      </c>
      <c r="BH14" s="4"/>
      <c r="BI14" s="3"/>
      <c r="BJ14" s="5">
        <f t="shared" si="0"/>
        <v>0</v>
      </c>
      <c r="BK14" s="5"/>
      <c r="BL14" s="52">
        <f t="shared" si="1"/>
        <v>0</v>
      </c>
      <c r="BM14" s="56"/>
      <c r="BN14" s="57"/>
      <c r="BP14" s="14">
        <f t="shared" si="3"/>
        <v>27</v>
      </c>
      <c r="BQ14" s="6">
        <f t="shared" ref="BQ14:BR14" si="66">BQ13+1</f>
        <v>44015</v>
      </c>
      <c r="BR14" s="7">
        <f t="shared" si="66"/>
        <v>44015</v>
      </c>
      <c r="BS14" s="4"/>
      <c r="BT14" s="3"/>
      <c r="BU14" s="5">
        <f t="shared" si="4"/>
        <v>0</v>
      </c>
      <c r="BV14" s="5"/>
      <c r="BW14" s="52">
        <f t="shared" si="5"/>
        <v>0</v>
      </c>
      <c r="BX14" s="56"/>
      <c r="BY14" s="57"/>
      <c r="CA14" s="14">
        <f t="shared" ref="CA14" si="67">IFERROR(_xlfn.ISOWEEKNUM(CB14),"")</f>
        <v>32</v>
      </c>
      <c r="CB14" s="6">
        <f t="shared" ref="CB14:CC14" si="68">CB13+1</f>
        <v>44046</v>
      </c>
      <c r="CC14" s="7">
        <f t="shared" si="68"/>
        <v>44046</v>
      </c>
      <c r="CD14" s="4"/>
      <c r="CE14" s="3"/>
      <c r="CF14" s="5">
        <f t="shared" si="8"/>
        <v>0</v>
      </c>
      <c r="CG14" s="5"/>
      <c r="CH14" s="52">
        <f t="shared" si="9"/>
        <v>0</v>
      </c>
      <c r="CI14" s="56"/>
      <c r="CJ14" s="57"/>
      <c r="CL14" s="14">
        <f t="shared" ref="CL14" si="69">IFERROR(_xlfn.ISOWEEKNUM(CM14),"")</f>
        <v>36</v>
      </c>
      <c r="CM14" s="6">
        <f t="shared" ref="CM14:CN14" si="70">CM13+1</f>
        <v>44077</v>
      </c>
      <c r="CN14" s="7">
        <f t="shared" si="70"/>
        <v>44077</v>
      </c>
      <c r="CO14" s="4"/>
      <c r="CP14" s="3"/>
      <c r="CQ14" s="5">
        <f t="shared" si="12"/>
        <v>0</v>
      </c>
      <c r="CR14" s="5"/>
      <c r="CS14" s="52">
        <f t="shared" si="13"/>
        <v>0</v>
      </c>
      <c r="CT14" s="56"/>
      <c r="CU14" s="57"/>
      <c r="CW14" s="14">
        <f t="shared" ref="CW14" si="71">IFERROR(_xlfn.ISOWEEKNUM(CX14),"")</f>
        <v>40</v>
      </c>
      <c r="CX14" s="6">
        <f t="shared" ref="CX14:CY14" si="72">CX13+1</f>
        <v>44107</v>
      </c>
      <c r="CY14" s="7">
        <f t="shared" si="72"/>
        <v>44107</v>
      </c>
      <c r="CZ14" s="4"/>
      <c r="DA14" s="3"/>
      <c r="DB14" s="5">
        <f t="shared" si="16"/>
        <v>0</v>
      </c>
      <c r="DC14" s="5"/>
      <c r="DD14" s="52">
        <f t="shared" si="17"/>
        <v>0</v>
      </c>
      <c r="DE14" s="56"/>
      <c r="DF14" s="57"/>
      <c r="DH14" s="14">
        <f t="shared" ref="DH14" si="73">IFERROR(_xlfn.ISOWEEKNUM(DI14),"")</f>
        <v>45</v>
      </c>
      <c r="DI14" s="6">
        <f t="shared" ref="DI14:DJ14" si="74">DI13+1</f>
        <v>44138</v>
      </c>
      <c r="DJ14" s="7">
        <f t="shared" si="74"/>
        <v>44138</v>
      </c>
      <c r="DK14" s="4"/>
      <c r="DL14" s="3"/>
      <c r="DM14" s="5">
        <f t="shared" si="20"/>
        <v>0</v>
      </c>
      <c r="DN14" s="5"/>
      <c r="DO14" s="52">
        <f t="shared" si="21"/>
        <v>0</v>
      </c>
      <c r="DP14" s="56"/>
      <c r="DQ14" s="57"/>
      <c r="DS14" s="14">
        <f t="shared" ref="DS14" si="75">IFERROR(_xlfn.ISOWEEKNUM(DT14),"")</f>
        <v>49</v>
      </c>
      <c r="DT14" s="6">
        <f t="shared" ref="DT14:DU14" si="76">DT13+1</f>
        <v>44168</v>
      </c>
      <c r="DU14" s="7">
        <f t="shared" si="76"/>
        <v>44168</v>
      </c>
      <c r="DV14" s="4"/>
      <c r="DW14" s="3"/>
      <c r="DX14" s="5">
        <f t="shared" si="24"/>
        <v>0</v>
      </c>
      <c r="DY14" s="5"/>
      <c r="DZ14" s="52">
        <f t="shared" si="25"/>
        <v>0</v>
      </c>
      <c r="EA14" s="56"/>
      <c r="EB14" s="57"/>
    </row>
    <row r="15" spans="1:132" x14ac:dyDescent="0.3">
      <c r="A15" s="24"/>
      <c r="B15" s="14">
        <f t="shared" si="27"/>
        <v>1</v>
      </c>
      <c r="C15" s="67">
        <f t="shared" si="55"/>
        <v>43834</v>
      </c>
      <c r="D15" s="62">
        <f>DATE($E$3,1,4)</f>
        <v>43834</v>
      </c>
      <c r="E15" s="4">
        <v>0.375</v>
      </c>
      <c r="F15" s="3">
        <v>0.75</v>
      </c>
      <c r="G15" s="5">
        <f t="shared" ref="G15:G42" si="77">IF(WEEKDAY($D15,2)&gt;6,"",IF(E15="ferié","",(F15-E15)))</f>
        <v>0.375</v>
      </c>
      <c r="H15" s="5">
        <v>4.1666666666666664E-2</v>
      </c>
      <c r="I15" s="52">
        <f t="shared" si="28"/>
        <v>0.33333333333333331</v>
      </c>
      <c r="J15" s="77">
        <f t="shared" si="29"/>
        <v>0</v>
      </c>
      <c r="K15" s="57"/>
      <c r="M15" s="14">
        <f t="shared" si="30"/>
        <v>6</v>
      </c>
      <c r="N15" s="64">
        <f t="shared" si="56"/>
        <v>43865</v>
      </c>
      <c r="O15" s="62">
        <f>DATE($E$3,2,4)</f>
        <v>43865</v>
      </c>
      <c r="P15" s="4">
        <v>0.375</v>
      </c>
      <c r="Q15" s="3">
        <v>0.75</v>
      </c>
      <c r="R15" s="5">
        <v>0.375</v>
      </c>
      <c r="S15" s="5">
        <v>4.1666666666666664E-2</v>
      </c>
      <c r="T15" s="52">
        <f t="shared" si="57"/>
        <v>0.33333333333333331</v>
      </c>
      <c r="U15" s="79">
        <f>IF(WEEKDAY(N15,2)=7,SUMPRODUCT((_xlfn.ISOWEEKNUM(fevrier)=_xlfn.ISOWEEKNUM(N15))*(reelFevrier))+SUMPRODUCT((_xlfn.ISOWEEKNUM(C$36:C$42)=_xlfn.ISOWEEKNUM(N15))*(I$36:I$42)),0)</f>
        <v>0</v>
      </c>
      <c r="V15" s="57"/>
      <c r="X15" s="14">
        <f t="shared" si="31"/>
        <v>10</v>
      </c>
      <c r="Y15" s="64">
        <f t="shared" si="58"/>
        <v>43894</v>
      </c>
      <c r="Z15" s="69">
        <f t="shared" si="59"/>
        <v>43894</v>
      </c>
      <c r="AA15" s="4">
        <v>0.375</v>
      </c>
      <c r="AB15" s="3">
        <v>0.75</v>
      </c>
      <c r="AC15" s="5">
        <v>0.375</v>
      </c>
      <c r="AD15" s="5">
        <v>4.1666666666666664E-2</v>
      </c>
      <c r="AE15" s="52">
        <f t="shared" si="60"/>
        <v>0.33333333333333331</v>
      </c>
      <c r="AF15" s="79">
        <f t="shared" si="32"/>
        <v>0</v>
      </c>
      <c r="AG15" s="57"/>
      <c r="AI15" s="14">
        <f t="shared" si="33"/>
        <v>14</v>
      </c>
      <c r="AJ15" s="6">
        <f t="shared" si="61"/>
        <v>43925</v>
      </c>
      <c r="AK15" s="7">
        <f t="shared" si="61"/>
        <v>43925</v>
      </c>
      <c r="AL15" s="4"/>
      <c r="AM15" s="3"/>
      <c r="AN15" s="5">
        <f t="shared" si="34"/>
        <v>0</v>
      </c>
      <c r="AO15" s="5"/>
      <c r="AP15" s="52">
        <f t="shared" si="62"/>
        <v>0</v>
      </c>
      <c r="AQ15" s="56"/>
      <c r="AR15" s="57"/>
      <c r="AT15" s="14">
        <f t="shared" si="35"/>
        <v>19</v>
      </c>
      <c r="AU15" s="6">
        <f t="shared" ref="AU15:AV15" si="78">AU14+1</f>
        <v>43955</v>
      </c>
      <c r="AV15" s="7">
        <f t="shared" si="78"/>
        <v>43955</v>
      </c>
      <c r="AW15" s="4"/>
      <c r="AX15" s="3"/>
      <c r="AY15" s="5">
        <f t="shared" si="36"/>
        <v>0</v>
      </c>
      <c r="AZ15" s="5"/>
      <c r="BA15" s="52">
        <f t="shared" si="64"/>
        <v>0</v>
      </c>
      <c r="BB15" s="56"/>
      <c r="BC15" s="57"/>
      <c r="BE15" s="14">
        <f t="shared" si="37"/>
        <v>23</v>
      </c>
      <c r="BF15" s="6">
        <f t="shared" ref="BF15:BG15" si="79">BF14+1</f>
        <v>43986</v>
      </c>
      <c r="BG15" s="7">
        <f t="shared" si="79"/>
        <v>43986</v>
      </c>
      <c r="BH15" s="4"/>
      <c r="BI15" s="3"/>
      <c r="BJ15" s="5">
        <f t="shared" si="0"/>
        <v>0</v>
      </c>
      <c r="BK15" s="5"/>
      <c r="BL15" s="52">
        <f t="shared" si="1"/>
        <v>0</v>
      </c>
      <c r="BM15" s="56"/>
      <c r="BN15" s="57"/>
      <c r="BP15" s="14">
        <f t="shared" si="3"/>
        <v>27</v>
      </c>
      <c r="BQ15" s="6">
        <f t="shared" ref="BQ15:BR15" si="80">BQ14+1</f>
        <v>44016</v>
      </c>
      <c r="BR15" s="7">
        <f t="shared" si="80"/>
        <v>44016</v>
      </c>
      <c r="BS15" s="4"/>
      <c r="BT15" s="3"/>
      <c r="BU15" s="5">
        <f t="shared" si="4"/>
        <v>0</v>
      </c>
      <c r="BV15" s="5"/>
      <c r="BW15" s="52">
        <f t="shared" si="5"/>
        <v>0</v>
      </c>
      <c r="BX15" s="56"/>
      <c r="BY15" s="57"/>
      <c r="CA15" s="14">
        <f t="shared" ref="CA15" si="81">IFERROR(_xlfn.ISOWEEKNUM(CB15),"")</f>
        <v>32</v>
      </c>
      <c r="CB15" s="6">
        <f t="shared" ref="CB15:CC15" si="82">CB14+1</f>
        <v>44047</v>
      </c>
      <c r="CC15" s="7">
        <f t="shared" si="82"/>
        <v>44047</v>
      </c>
      <c r="CD15" s="4"/>
      <c r="CE15" s="3"/>
      <c r="CF15" s="5">
        <f t="shared" si="8"/>
        <v>0</v>
      </c>
      <c r="CG15" s="5"/>
      <c r="CH15" s="52">
        <f t="shared" si="9"/>
        <v>0</v>
      </c>
      <c r="CI15" s="56"/>
      <c r="CJ15" s="57"/>
      <c r="CL15" s="14">
        <f t="shared" ref="CL15" si="83">IFERROR(_xlfn.ISOWEEKNUM(CM15),"")</f>
        <v>36</v>
      </c>
      <c r="CM15" s="6">
        <f t="shared" ref="CM15:CN15" si="84">CM14+1</f>
        <v>44078</v>
      </c>
      <c r="CN15" s="7">
        <f t="shared" si="84"/>
        <v>44078</v>
      </c>
      <c r="CO15" s="4"/>
      <c r="CP15" s="3"/>
      <c r="CQ15" s="5">
        <f t="shared" si="12"/>
        <v>0</v>
      </c>
      <c r="CR15" s="5"/>
      <c r="CS15" s="52">
        <f t="shared" si="13"/>
        <v>0</v>
      </c>
      <c r="CT15" s="56"/>
      <c r="CU15" s="57"/>
      <c r="CW15" s="14">
        <f t="shared" ref="CW15" si="85">IFERROR(_xlfn.ISOWEEKNUM(CX15),"")</f>
        <v>40</v>
      </c>
      <c r="CX15" s="6">
        <f t="shared" ref="CX15:CY15" si="86">CX14+1</f>
        <v>44108</v>
      </c>
      <c r="CY15" s="7">
        <f t="shared" si="86"/>
        <v>44108</v>
      </c>
      <c r="CZ15" s="4"/>
      <c r="DA15" s="3"/>
      <c r="DB15" s="5">
        <f t="shared" si="16"/>
        <v>0</v>
      </c>
      <c r="DC15" s="5"/>
      <c r="DD15" s="52">
        <f t="shared" si="17"/>
        <v>0</v>
      </c>
      <c r="DE15" s="56"/>
      <c r="DF15" s="57"/>
      <c r="DH15" s="14">
        <f t="shared" ref="DH15" si="87">IFERROR(_xlfn.ISOWEEKNUM(DI15),"")</f>
        <v>45</v>
      </c>
      <c r="DI15" s="6">
        <f t="shared" ref="DI15:DJ15" si="88">DI14+1</f>
        <v>44139</v>
      </c>
      <c r="DJ15" s="7">
        <f t="shared" si="88"/>
        <v>44139</v>
      </c>
      <c r="DK15" s="4"/>
      <c r="DL15" s="3"/>
      <c r="DM15" s="5">
        <f t="shared" si="20"/>
        <v>0</v>
      </c>
      <c r="DN15" s="5"/>
      <c r="DO15" s="52">
        <f t="shared" si="21"/>
        <v>0</v>
      </c>
      <c r="DP15" s="56"/>
      <c r="DQ15" s="57"/>
      <c r="DS15" s="14">
        <f t="shared" ref="DS15" si="89">IFERROR(_xlfn.ISOWEEKNUM(DT15),"")</f>
        <v>49</v>
      </c>
      <c r="DT15" s="6">
        <f t="shared" ref="DT15:DU15" si="90">DT14+1</f>
        <v>44169</v>
      </c>
      <c r="DU15" s="7">
        <f t="shared" si="90"/>
        <v>44169</v>
      </c>
      <c r="DV15" s="4"/>
      <c r="DW15" s="3"/>
      <c r="DX15" s="5">
        <f t="shared" si="24"/>
        <v>0</v>
      </c>
      <c r="DY15" s="5"/>
      <c r="DZ15" s="52">
        <f t="shared" si="25"/>
        <v>0</v>
      </c>
      <c r="EA15" s="56"/>
      <c r="EB15" s="57"/>
    </row>
    <row r="16" spans="1:132" x14ac:dyDescent="0.3">
      <c r="A16" s="24"/>
      <c r="B16" s="14">
        <f t="shared" si="27"/>
        <v>1</v>
      </c>
      <c r="C16" s="67">
        <f t="shared" si="55"/>
        <v>43835</v>
      </c>
      <c r="D16" s="62">
        <f>DATE($E$3,1,5)</f>
        <v>43835</v>
      </c>
      <c r="E16" s="4"/>
      <c r="F16" s="3"/>
      <c r="G16" s="5" t="str">
        <f t="shared" si="77"/>
        <v/>
      </c>
      <c r="H16" s="5"/>
      <c r="I16" s="52">
        <f t="shared" si="28"/>
        <v>0</v>
      </c>
      <c r="J16" s="77">
        <f t="shared" si="29"/>
        <v>0.66666666666666663</v>
      </c>
      <c r="K16" s="57"/>
      <c r="M16" s="14">
        <f t="shared" si="30"/>
        <v>6</v>
      </c>
      <c r="N16" s="64">
        <f t="shared" si="56"/>
        <v>43866</v>
      </c>
      <c r="O16" s="62">
        <f>DATE($E$3,2,5)</f>
        <v>43866</v>
      </c>
      <c r="P16" s="4">
        <v>0.375</v>
      </c>
      <c r="Q16" s="3">
        <v>0.75</v>
      </c>
      <c r="R16" s="5">
        <v>0.375</v>
      </c>
      <c r="S16" s="5">
        <v>4.1666666666666664E-2</v>
      </c>
      <c r="T16" s="52">
        <f t="shared" si="57"/>
        <v>0.33333333333333331</v>
      </c>
      <c r="U16" s="79">
        <f>IF(WEEKDAY(N16,2)=7,SUMPRODUCT((_xlfn.ISOWEEKNUM(fevrier)=_xlfn.ISOWEEKNUM(N16))*(reelFevrier))+SUMPRODUCT((_xlfn.ISOWEEKNUM(C$36:C$42)=_xlfn.ISOWEEKNUM(N16))*(I$36:I$42)),0)</f>
        <v>0</v>
      </c>
      <c r="V16" s="57"/>
      <c r="X16" s="14">
        <f t="shared" si="31"/>
        <v>10</v>
      </c>
      <c r="Y16" s="64">
        <f t="shared" si="58"/>
        <v>43895</v>
      </c>
      <c r="Z16" s="69">
        <f t="shared" si="59"/>
        <v>43895</v>
      </c>
      <c r="AA16" s="4">
        <v>0.375</v>
      </c>
      <c r="AB16" s="3">
        <v>0.75</v>
      </c>
      <c r="AC16" s="5">
        <v>0.375</v>
      </c>
      <c r="AD16" s="5">
        <v>4.1666666666666664E-2</v>
      </c>
      <c r="AE16" s="52">
        <f t="shared" si="60"/>
        <v>0.33333333333333331</v>
      </c>
      <c r="AF16" s="79">
        <f t="shared" si="32"/>
        <v>0</v>
      </c>
      <c r="AG16" s="57"/>
      <c r="AI16" s="14">
        <f t="shared" si="33"/>
        <v>14</v>
      </c>
      <c r="AJ16" s="6">
        <f t="shared" si="61"/>
        <v>43926</v>
      </c>
      <c r="AK16" s="7">
        <f t="shared" si="61"/>
        <v>43926</v>
      </c>
      <c r="AL16" s="4"/>
      <c r="AM16" s="3"/>
      <c r="AN16" s="5">
        <f t="shared" si="34"/>
        <v>0</v>
      </c>
      <c r="AO16" s="5"/>
      <c r="AP16" s="52">
        <f t="shared" si="62"/>
        <v>0</v>
      </c>
      <c r="AQ16" s="56"/>
      <c r="AR16" s="57"/>
      <c r="AT16" s="14">
        <f t="shared" si="35"/>
        <v>19</v>
      </c>
      <c r="AU16" s="6">
        <f t="shared" ref="AU16:AV16" si="91">AU15+1</f>
        <v>43956</v>
      </c>
      <c r="AV16" s="7">
        <f t="shared" si="91"/>
        <v>43956</v>
      </c>
      <c r="AW16" s="4"/>
      <c r="AX16" s="3"/>
      <c r="AY16" s="5">
        <f t="shared" si="36"/>
        <v>0</v>
      </c>
      <c r="AZ16" s="5"/>
      <c r="BA16" s="52">
        <f t="shared" si="64"/>
        <v>0</v>
      </c>
      <c r="BB16" s="56"/>
      <c r="BC16" s="57"/>
      <c r="BE16" s="14">
        <f t="shared" si="37"/>
        <v>23</v>
      </c>
      <c r="BF16" s="6">
        <f t="shared" ref="BF16:BG16" si="92">BF15+1</f>
        <v>43987</v>
      </c>
      <c r="BG16" s="7">
        <f t="shared" si="92"/>
        <v>43987</v>
      </c>
      <c r="BH16" s="4"/>
      <c r="BI16" s="3"/>
      <c r="BJ16" s="5">
        <f t="shared" si="0"/>
        <v>0</v>
      </c>
      <c r="BK16" s="5"/>
      <c r="BL16" s="52">
        <f t="shared" si="1"/>
        <v>0</v>
      </c>
      <c r="BM16" s="56"/>
      <c r="BN16" s="57"/>
      <c r="BP16" s="14">
        <f t="shared" si="3"/>
        <v>27</v>
      </c>
      <c r="BQ16" s="6">
        <f t="shared" ref="BQ16:BR16" si="93">BQ15+1</f>
        <v>44017</v>
      </c>
      <c r="BR16" s="7">
        <f t="shared" si="93"/>
        <v>44017</v>
      </c>
      <c r="BS16" s="4"/>
      <c r="BT16" s="3"/>
      <c r="BU16" s="5">
        <f t="shared" si="4"/>
        <v>0</v>
      </c>
      <c r="BV16" s="5"/>
      <c r="BW16" s="52">
        <f t="shared" si="5"/>
        <v>0</v>
      </c>
      <c r="BX16" s="56"/>
      <c r="BY16" s="57"/>
      <c r="CA16" s="14">
        <f t="shared" ref="CA16" si="94">IFERROR(_xlfn.ISOWEEKNUM(CB16),"")</f>
        <v>32</v>
      </c>
      <c r="CB16" s="6">
        <f t="shared" ref="CB16:CC16" si="95">CB15+1</f>
        <v>44048</v>
      </c>
      <c r="CC16" s="7">
        <f t="shared" si="95"/>
        <v>44048</v>
      </c>
      <c r="CD16" s="4"/>
      <c r="CE16" s="3"/>
      <c r="CF16" s="5">
        <f t="shared" si="8"/>
        <v>0</v>
      </c>
      <c r="CG16" s="5"/>
      <c r="CH16" s="52">
        <f t="shared" si="9"/>
        <v>0</v>
      </c>
      <c r="CI16" s="56"/>
      <c r="CJ16" s="57"/>
      <c r="CL16" s="14">
        <f t="shared" ref="CL16" si="96">IFERROR(_xlfn.ISOWEEKNUM(CM16),"")</f>
        <v>36</v>
      </c>
      <c r="CM16" s="6">
        <f t="shared" ref="CM16:CN16" si="97">CM15+1</f>
        <v>44079</v>
      </c>
      <c r="CN16" s="7">
        <f t="shared" si="97"/>
        <v>44079</v>
      </c>
      <c r="CO16" s="4"/>
      <c r="CP16" s="3"/>
      <c r="CQ16" s="5">
        <f t="shared" si="12"/>
        <v>0</v>
      </c>
      <c r="CR16" s="5"/>
      <c r="CS16" s="52">
        <f t="shared" si="13"/>
        <v>0</v>
      </c>
      <c r="CT16" s="56"/>
      <c r="CU16" s="57"/>
      <c r="CW16" s="14">
        <f t="shared" ref="CW16" si="98">IFERROR(_xlfn.ISOWEEKNUM(CX16),"")</f>
        <v>41</v>
      </c>
      <c r="CX16" s="6">
        <f t="shared" ref="CX16:CY16" si="99">CX15+1</f>
        <v>44109</v>
      </c>
      <c r="CY16" s="7">
        <f t="shared" si="99"/>
        <v>44109</v>
      </c>
      <c r="CZ16" s="4"/>
      <c r="DA16" s="3"/>
      <c r="DB16" s="5">
        <f t="shared" si="16"/>
        <v>0</v>
      </c>
      <c r="DC16" s="5"/>
      <c r="DD16" s="52">
        <f t="shared" si="17"/>
        <v>0</v>
      </c>
      <c r="DE16" s="56"/>
      <c r="DF16" s="57"/>
      <c r="DH16" s="14">
        <f t="shared" ref="DH16" si="100">IFERROR(_xlfn.ISOWEEKNUM(DI16),"")</f>
        <v>45</v>
      </c>
      <c r="DI16" s="6">
        <f t="shared" ref="DI16:DJ16" si="101">DI15+1</f>
        <v>44140</v>
      </c>
      <c r="DJ16" s="7">
        <f t="shared" si="101"/>
        <v>44140</v>
      </c>
      <c r="DK16" s="4"/>
      <c r="DL16" s="3"/>
      <c r="DM16" s="5">
        <f t="shared" si="20"/>
        <v>0</v>
      </c>
      <c r="DN16" s="5"/>
      <c r="DO16" s="52">
        <f t="shared" si="21"/>
        <v>0</v>
      </c>
      <c r="DP16" s="56"/>
      <c r="DQ16" s="57"/>
      <c r="DS16" s="14">
        <f t="shared" ref="DS16" si="102">IFERROR(_xlfn.ISOWEEKNUM(DT16),"")</f>
        <v>49</v>
      </c>
      <c r="DT16" s="6">
        <f t="shared" ref="DT16:DU16" si="103">DT15+1</f>
        <v>44170</v>
      </c>
      <c r="DU16" s="7">
        <f t="shared" si="103"/>
        <v>44170</v>
      </c>
      <c r="DV16" s="4"/>
      <c r="DW16" s="3"/>
      <c r="DX16" s="5">
        <f t="shared" si="24"/>
        <v>0</v>
      </c>
      <c r="DY16" s="5"/>
      <c r="DZ16" s="52">
        <f t="shared" si="25"/>
        <v>0</v>
      </c>
      <c r="EA16" s="56"/>
      <c r="EB16" s="57"/>
    </row>
    <row r="17" spans="1:132" x14ac:dyDescent="0.3">
      <c r="A17" s="24"/>
      <c r="B17" s="14">
        <f t="shared" si="27"/>
        <v>2</v>
      </c>
      <c r="C17" s="67">
        <f t="shared" si="55"/>
        <v>43836</v>
      </c>
      <c r="D17" s="62">
        <f>DATE($E$3,1,6)</f>
        <v>43836</v>
      </c>
      <c r="E17" s="4">
        <v>0.375</v>
      </c>
      <c r="F17" s="3">
        <v>0.75</v>
      </c>
      <c r="G17" s="5">
        <f>IF(WEEKDAY($D17,2)&gt;6,"",IF(E17="ferié","",(F17-E17)))</f>
        <v>0.375</v>
      </c>
      <c r="H17" s="5">
        <v>4.1666666666666664E-2</v>
      </c>
      <c r="I17" s="52">
        <f t="shared" si="28"/>
        <v>0.33333333333333331</v>
      </c>
      <c r="J17" s="77">
        <f t="shared" si="29"/>
        <v>0</v>
      </c>
      <c r="K17" s="57"/>
      <c r="M17" s="14">
        <f t="shared" si="30"/>
        <v>6</v>
      </c>
      <c r="N17" s="64">
        <f t="shared" si="56"/>
        <v>43867</v>
      </c>
      <c r="O17" s="62">
        <f>DATE($E$3,2,6)</f>
        <v>43867</v>
      </c>
      <c r="P17" s="4">
        <v>0.375</v>
      </c>
      <c r="Q17" s="3">
        <v>0.75</v>
      </c>
      <c r="R17" s="5">
        <v>0.375</v>
      </c>
      <c r="S17" s="5">
        <v>4.1666666666666664E-2</v>
      </c>
      <c r="T17" s="52">
        <f t="shared" si="57"/>
        <v>0.33333333333333331</v>
      </c>
      <c r="U17" s="79">
        <f>IF(WEEKDAY(N17,2)=7,SUMPRODUCT((_xlfn.ISOWEEKNUM(fevrier)=_xlfn.ISOWEEKNUM(N17))*(reelFevrier))+SUMPRODUCT((_xlfn.ISOWEEKNUM(C$36:C$42)=_xlfn.ISOWEEKNUM(N17))*(I$36:I$42)),0)</f>
        <v>0</v>
      </c>
      <c r="V17" s="57"/>
      <c r="X17" s="14">
        <f t="shared" si="31"/>
        <v>10</v>
      </c>
      <c r="Y17" s="64">
        <f t="shared" si="58"/>
        <v>43896</v>
      </c>
      <c r="Z17" s="69">
        <f t="shared" si="59"/>
        <v>43896</v>
      </c>
      <c r="AA17" s="4">
        <v>0.375</v>
      </c>
      <c r="AB17" s="3">
        <v>0.75</v>
      </c>
      <c r="AC17" s="5">
        <v>0.375</v>
      </c>
      <c r="AD17" s="5">
        <v>4.1666666666666664E-2</v>
      </c>
      <c r="AE17" s="52">
        <f t="shared" si="60"/>
        <v>0.33333333333333331</v>
      </c>
      <c r="AF17" s="79">
        <f t="shared" si="32"/>
        <v>0</v>
      </c>
      <c r="AG17" s="57"/>
      <c r="AI17" s="14">
        <f t="shared" si="33"/>
        <v>15</v>
      </c>
      <c r="AJ17" s="6">
        <f t="shared" si="61"/>
        <v>43927</v>
      </c>
      <c r="AK17" s="7">
        <f t="shared" si="61"/>
        <v>43927</v>
      </c>
      <c r="AL17" s="4"/>
      <c r="AM17" s="3"/>
      <c r="AN17" s="5">
        <f t="shared" si="34"/>
        <v>0</v>
      </c>
      <c r="AO17" s="5"/>
      <c r="AP17" s="52">
        <f t="shared" si="62"/>
        <v>0</v>
      </c>
      <c r="AQ17" s="56"/>
      <c r="AR17" s="57"/>
      <c r="AT17" s="14">
        <f t="shared" si="35"/>
        <v>19</v>
      </c>
      <c r="AU17" s="6">
        <f t="shared" ref="AU17:AV17" si="104">AU16+1</f>
        <v>43957</v>
      </c>
      <c r="AV17" s="7">
        <f t="shared" si="104"/>
        <v>43957</v>
      </c>
      <c r="AW17" s="4"/>
      <c r="AX17" s="3"/>
      <c r="AY17" s="5">
        <f t="shared" si="36"/>
        <v>0</v>
      </c>
      <c r="AZ17" s="5"/>
      <c r="BA17" s="52">
        <f t="shared" si="64"/>
        <v>0</v>
      </c>
      <c r="BB17" s="56"/>
      <c r="BC17" s="57"/>
      <c r="BE17" s="14">
        <f t="shared" si="37"/>
        <v>23</v>
      </c>
      <c r="BF17" s="6">
        <f t="shared" ref="BF17:BG17" si="105">BF16+1</f>
        <v>43988</v>
      </c>
      <c r="BG17" s="7">
        <f t="shared" si="105"/>
        <v>43988</v>
      </c>
      <c r="BH17" s="4" t="s">
        <v>23</v>
      </c>
      <c r="BI17" s="3"/>
      <c r="BJ17" s="5" t="str">
        <f t="shared" si="0"/>
        <v/>
      </c>
      <c r="BK17" s="5"/>
      <c r="BL17" s="52" t="str">
        <f t="shared" si="1"/>
        <v/>
      </c>
      <c r="BM17" s="56"/>
      <c r="BN17" s="57"/>
      <c r="BP17" s="14">
        <f t="shared" si="3"/>
        <v>28</v>
      </c>
      <c r="BQ17" s="6">
        <f t="shared" ref="BQ17:BR17" si="106">BQ16+1</f>
        <v>44018</v>
      </c>
      <c r="BR17" s="7">
        <f t="shared" si="106"/>
        <v>44018</v>
      </c>
      <c r="BS17" s="4"/>
      <c r="BT17" s="3"/>
      <c r="BU17" s="5">
        <f t="shared" si="4"/>
        <v>0</v>
      </c>
      <c r="BV17" s="5"/>
      <c r="BW17" s="52">
        <f t="shared" si="5"/>
        <v>0</v>
      </c>
      <c r="BX17" s="56"/>
      <c r="BY17" s="57"/>
      <c r="CA17" s="14">
        <f t="shared" ref="CA17" si="107">IFERROR(_xlfn.ISOWEEKNUM(CB17),"")</f>
        <v>32</v>
      </c>
      <c r="CB17" s="6">
        <f t="shared" ref="CB17:CC17" si="108">CB16+1</f>
        <v>44049</v>
      </c>
      <c r="CC17" s="7">
        <f t="shared" si="108"/>
        <v>44049</v>
      </c>
      <c r="CD17" s="4"/>
      <c r="CE17" s="3"/>
      <c r="CF17" s="5">
        <f t="shared" si="8"/>
        <v>0</v>
      </c>
      <c r="CG17" s="5"/>
      <c r="CH17" s="52">
        <f t="shared" si="9"/>
        <v>0</v>
      </c>
      <c r="CI17" s="56"/>
      <c r="CJ17" s="57"/>
      <c r="CL17" s="14">
        <f t="shared" ref="CL17" si="109">IFERROR(_xlfn.ISOWEEKNUM(CM17),"")</f>
        <v>36</v>
      </c>
      <c r="CM17" s="6">
        <f t="shared" ref="CM17:CN17" si="110">CM16+1</f>
        <v>44080</v>
      </c>
      <c r="CN17" s="7">
        <f t="shared" si="110"/>
        <v>44080</v>
      </c>
      <c r="CO17" s="4"/>
      <c r="CP17" s="3"/>
      <c r="CQ17" s="5">
        <f t="shared" si="12"/>
        <v>0</v>
      </c>
      <c r="CR17" s="5"/>
      <c r="CS17" s="52">
        <f t="shared" si="13"/>
        <v>0</v>
      </c>
      <c r="CT17" s="56"/>
      <c r="CU17" s="57"/>
      <c r="CW17" s="14">
        <f t="shared" ref="CW17" si="111">IFERROR(_xlfn.ISOWEEKNUM(CX17),"")</f>
        <v>41</v>
      </c>
      <c r="CX17" s="6">
        <f t="shared" ref="CX17:CY17" si="112">CX16+1</f>
        <v>44110</v>
      </c>
      <c r="CY17" s="7">
        <f t="shared" si="112"/>
        <v>44110</v>
      </c>
      <c r="CZ17" s="4"/>
      <c r="DA17" s="3"/>
      <c r="DB17" s="5">
        <f t="shared" si="16"/>
        <v>0</v>
      </c>
      <c r="DC17" s="5"/>
      <c r="DD17" s="52">
        <f t="shared" si="17"/>
        <v>0</v>
      </c>
      <c r="DE17" s="56"/>
      <c r="DF17" s="57"/>
      <c r="DH17" s="14">
        <f t="shared" ref="DH17" si="113">IFERROR(_xlfn.ISOWEEKNUM(DI17),"")</f>
        <v>45</v>
      </c>
      <c r="DI17" s="6">
        <f t="shared" ref="DI17:DJ17" si="114">DI16+1</f>
        <v>44141</v>
      </c>
      <c r="DJ17" s="7">
        <f t="shared" si="114"/>
        <v>44141</v>
      </c>
      <c r="DK17" s="4"/>
      <c r="DL17" s="3"/>
      <c r="DM17" s="5">
        <f t="shared" si="20"/>
        <v>0</v>
      </c>
      <c r="DN17" s="5"/>
      <c r="DO17" s="52">
        <f t="shared" si="21"/>
        <v>0</v>
      </c>
      <c r="DP17" s="56"/>
      <c r="DQ17" s="57"/>
      <c r="DS17" s="14">
        <f t="shared" ref="DS17" si="115">IFERROR(_xlfn.ISOWEEKNUM(DT17),"")</f>
        <v>49</v>
      </c>
      <c r="DT17" s="6">
        <f t="shared" ref="DT17:DU17" si="116">DT16+1</f>
        <v>44171</v>
      </c>
      <c r="DU17" s="7">
        <f t="shared" si="116"/>
        <v>44171</v>
      </c>
      <c r="DV17" s="4"/>
      <c r="DW17" s="3"/>
      <c r="DX17" s="5">
        <f t="shared" si="24"/>
        <v>0</v>
      </c>
      <c r="DY17" s="5"/>
      <c r="DZ17" s="52">
        <f t="shared" si="25"/>
        <v>0</v>
      </c>
      <c r="EA17" s="56"/>
      <c r="EB17" s="57"/>
    </row>
    <row r="18" spans="1:132" x14ac:dyDescent="0.3">
      <c r="A18" s="24"/>
      <c r="B18" s="14">
        <f t="shared" si="27"/>
        <v>2</v>
      </c>
      <c r="C18" s="67">
        <f t="shared" si="55"/>
        <v>43837</v>
      </c>
      <c r="D18" s="62">
        <f>DATE($E$3,1,7)</f>
        <v>43837</v>
      </c>
      <c r="E18" s="4">
        <v>0.375</v>
      </c>
      <c r="F18" s="3">
        <v>0.75</v>
      </c>
      <c r="G18" s="5">
        <f>IF(WEEKDAY($D18,2)&gt;6,"",IF(E18="ferié","",(F18-E18)))</f>
        <v>0.375</v>
      </c>
      <c r="H18" s="5">
        <v>4.1666666666666664E-2</v>
      </c>
      <c r="I18" s="52">
        <f t="shared" si="28"/>
        <v>0.33333333333333331</v>
      </c>
      <c r="J18" s="77">
        <f t="shared" si="29"/>
        <v>0</v>
      </c>
      <c r="K18" s="59"/>
      <c r="M18" s="14">
        <f t="shared" si="30"/>
        <v>6</v>
      </c>
      <c r="N18" s="64">
        <f t="shared" si="56"/>
        <v>43868</v>
      </c>
      <c r="O18" s="62">
        <f>DATE($E$3,2,7)</f>
        <v>43868</v>
      </c>
      <c r="P18" s="4"/>
      <c r="Q18" s="3"/>
      <c r="R18" s="5"/>
      <c r="S18" s="5"/>
      <c r="T18" s="52">
        <f t="shared" si="57"/>
        <v>0</v>
      </c>
      <c r="U18" s="79">
        <f>IF(WEEKDAY(N18,2)=7,SUMPRODUCT((_xlfn.ISOWEEKNUM(fevrier)=_xlfn.ISOWEEKNUM(N18))*(reelFevrier))+SUMPRODUCT((_xlfn.ISOWEEKNUM(C$36:C$42)=_xlfn.ISOWEEKNUM(N18))*(I$36:I$42)),0)</f>
        <v>0</v>
      </c>
      <c r="V18" s="59"/>
      <c r="X18" s="14">
        <f t="shared" si="31"/>
        <v>10</v>
      </c>
      <c r="Y18" s="64">
        <f t="shared" si="58"/>
        <v>43897</v>
      </c>
      <c r="Z18" s="69">
        <f t="shared" si="59"/>
        <v>43897</v>
      </c>
      <c r="AA18" s="4">
        <v>0.375</v>
      </c>
      <c r="AB18" s="3">
        <v>0.75</v>
      </c>
      <c r="AC18" s="5">
        <v>0.375</v>
      </c>
      <c r="AD18" s="5">
        <v>4.1666666666666664E-2</v>
      </c>
      <c r="AE18" s="52">
        <f t="shared" si="60"/>
        <v>0.33333333333333331</v>
      </c>
      <c r="AF18" s="79">
        <f t="shared" si="32"/>
        <v>0</v>
      </c>
      <c r="AG18" s="59"/>
      <c r="AI18" s="14">
        <f t="shared" si="33"/>
        <v>15</v>
      </c>
      <c r="AJ18" s="6">
        <f t="shared" si="61"/>
        <v>43928</v>
      </c>
      <c r="AK18" s="7">
        <f t="shared" si="61"/>
        <v>43928</v>
      </c>
      <c r="AL18" s="4"/>
      <c r="AM18" s="3"/>
      <c r="AN18" s="5">
        <f t="shared" si="34"/>
        <v>0</v>
      </c>
      <c r="AO18" s="5"/>
      <c r="AP18" s="52">
        <f t="shared" si="62"/>
        <v>0</v>
      </c>
      <c r="AQ18" s="58">
        <f>SUM(AP20:AP26)</f>
        <v>0</v>
      </c>
      <c r="AR18" s="59">
        <f>IF(AQ18&gt;$G$2,AQ18-$G$2,0)+SUM(AS18:AS24)</f>
        <v>0</v>
      </c>
      <c r="AT18" s="14">
        <f t="shared" si="35"/>
        <v>19</v>
      </c>
      <c r="AU18" s="6">
        <f t="shared" ref="AU18:AV18" si="117">AU17+1</f>
        <v>43958</v>
      </c>
      <c r="AV18" s="7">
        <f t="shared" si="117"/>
        <v>43958</v>
      </c>
      <c r="AW18" s="4"/>
      <c r="AX18" s="3"/>
      <c r="AY18" s="5">
        <f t="shared" si="36"/>
        <v>0</v>
      </c>
      <c r="AZ18" s="5"/>
      <c r="BA18" s="52">
        <f t="shared" si="64"/>
        <v>0</v>
      </c>
      <c r="BB18" s="58">
        <f>SUM(BA20:BA26)</f>
        <v>0</v>
      </c>
      <c r="BC18" s="59">
        <f>IF(BB18&gt;$G$2,BB18-$G$2,0)+SUM(BD18:BD24)</f>
        <v>0</v>
      </c>
      <c r="BE18" s="14">
        <f t="shared" si="37"/>
        <v>23</v>
      </c>
      <c r="BF18" s="6">
        <f t="shared" ref="BF18:BG18" si="118">BF17+1</f>
        <v>43989</v>
      </c>
      <c r="BG18" s="7">
        <f t="shared" si="118"/>
        <v>43989</v>
      </c>
      <c r="BH18" s="4"/>
      <c r="BI18" s="3"/>
      <c r="BJ18" s="5">
        <f t="shared" si="0"/>
        <v>0</v>
      </c>
      <c r="BK18" s="5"/>
      <c r="BL18" s="52">
        <f t="shared" si="1"/>
        <v>0</v>
      </c>
      <c r="BM18" s="58">
        <f t="shared" ref="BM18" si="119">SUM(BL20:BL26)</f>
        <v>0</v>
      </c>
      <c r="BN18" s="59">
        <f t="shared" ref="BN18" si="120">IF(BM18&gt;$G$2,BM18-$G$2,0)+SUM(BO18:BO24)</f>
        <v>0</v>
      </c>
      <c r="BP18" s="14">
        <f t="shared" si="3"/>
        <v>28</v>
      </c>
      <c r="BQ18" s="6">
        <f t="shared" ref="BQ18:BR18" si="121">BQ17+1</f>
        <v>44019</v>
      </c>
      <c r="BR18" s="7">
        <f t="shared" si="121"/>
        <v>44019</v>
      </c>
      <c r="BS18" s="4"/>
      <c r="BT18" s="3"/>
      <c r="BU18" s="5">
        <f t="shared" si="4"/>
        <v>0</v>
      </c>
      <c r="BV18" s="5"/>
      <c r="BW18" s="52">
        <f t="shared" si="5"/>
        <v>0</v>
      </c>
      <c r="BX18" s="58">
        <f t="shared" ref="BX18" si="122">SUM(BW20:BW26)</f>
        <v>0</v>
      </c>
      <c r="BY18" s="59">
        <f t="shared" ref="BY18" si="123">IF(BX18&gt;$G$2,BX18-$G$2,0)+SUM(BZ18:BZ24)</f>
        <v>0</v>
      </c>
      <c r="CA18" s="14">
        <f t="shared" ref="CA18" si="124">IFERROR(_xlfn.ISOWEEKNUM(CB18),"")</f>
        <v>32</v>
      </c>
      <c r="CB18" s="6">
        <f t="shared" ref="CB18:CC18" si="125">CB17+1</f>
        <v>44050</v>
      </c>
      <c r="CC18" s="7">
        <f t="shared" si="125"/>
        <v>44050</v>
      </c>
      <c r="CD18" s="4"/>
      <c r="CE18" s="3"/>
      <c r="CF18" s="5">
        <f t="shared" si="8"/>
        <v>0</v>
      </c>
      <c r="CG18" s="5"/>
      <c r="CH18" s="52">
        <f t="shared" si="9"/>
        <v>0</v>
      </c>
      <c r="CI18" s="58">
        <f t="shared" ref="CI18" si="126">SUM(CH20:CH26)</f>
        <v>0</v>
      </c>
      <c r="CJ18" s="59">
        <f t="shared" ref="CJ18:DQ18" si="127">IF(CI18&gt;$G$2,CI18-$G$2,0)+SUM(CK18:CK24)</f>
        <v>0</v>
      </c>
      <c r="CL18" s="14">
        <f t="shared" ref="CL18" si="128">IFERROR(_xlfn.ISOWEEKNUM(CM18),"")</f>
        <v>37</v>
      </c>
      <c r="CM18" s="6">
        <f t="shared" ref="CM18:CN18" si="129">CM17+1</f>
        <v>44081</v>
      </c>
      <c r="CN18" s="7">
        <f t="shared" si="129"/>
        <v>44081</v>
      </c>
      <c r="CO18" s="4"/>
      <c r="CP18" s="3"/>
      <c r="CQ18" s="5">
        <f t="shared" si="12"/>
        <v>0</v>
      </c>
      <c r="CR18" s="5"/>
      <c r="CS18" s="52">
        <f t="shared" si="13"/>
        <v>0</v>
      </c>
      <c r="CT18" s="58">
        <f t="shared" ref="CT18" si="130">SUM(CS20:CS26)</f>
        <v>0</v>
      </c>
      <c r="CU18" s="59">
        <f t="shared" si="127"/>
        <v>0</v>
      </c>
      <c r="CW18" s="14">
        <f t="shared" ref="CW18" si="131">IFERROR(_xlfn.ISOWEEKNUM(CX18),"")</f>
        <v>41</v>
      </c>
      <c r="CX18" s="6">
        <f t="shared" ref="CX18:CY18" si="132">CX17+1</f>
        <v>44111</v>
      </c>
      <c r="CY18" s="7">
        <f t="shared" si="132"/>
        <v>44111</v>
      </c>
      <c r="CZ18" s="4"/>
      <c r="DA18" s="3"/>
      <c r="DB18" s="5">
        <f t="shared" si="16"/>
        <v>0</v>
      </c>
      <c r="DC18" s="5"/>
      <c r="DD18" s="52">
        <f t="shared" si="17"/>
        <v>0</v>
      </c>
      <c r="DE18" s="58">
        <f t="shared" ref="DE18" si="133">SUM(DD20:DD26)</f>
        <v>0</v>
      </c>
      <c r="DF18" s="59">
        <f t="shared" si="127"/>
        <v>0</v>
      </c>
      <c r="DH18" s="14">
        <f t="shared" ref="DH18" si="134">IFERROR(_xlfn.ISOWEEKNUM(DI18),"")</f>
        <v>45</v>
      </c>
      <c r="DI18" s="6">
        <f t="shared" ref="DI18:DJ18" si="135">DI17+1</f>
        <v>44142</v>
      </c>
      <c r="DJ18" s="7">
        <f t="shared" si="135"/>
        <v>44142</v>
      </c>
      <c r="DK18" s="4"/>
      <c r="DL18" s="3"/>
      <c r="DM18" s="5">
        <f t="shared" si="20"/>
        <v>0</v>
      </c>
      <c r="DN18" s="5"/>
      <c r="DO18" s="52">
        <f t="shared" si="21"/>
        <v>0</v>
      </c>
      <c r="DP18" s="58">
        <f t="shared" ref="DP18" si="136">SUM(DO20:DO26)</f>
        <v>0</v>
      </c>
      <c r="DQ18" s="59">
        <f t="shared" si="127"/>
        <v>0</v>
      </c>
      <c r="DS18" s="14">
        <f t="shared" ref="DS18" si="137">IFERROR(_xlfn.ISOWEEKNUM(DT18),"")</f>
        <v>50</v>
      </c>
      <c r="DT18" s="6">
        <f t="shared" ref="DT18:DU18" si="138">DT17+1</f>
        <v>44172</v>
      </c>
      <c r="DU18" s="7">
        <f t="shared" si="138"/>
        <v>44172</v>
      </c>
      <c r="DV18" s="4"/>
      <c r="DW18" s="3"/>
      <c r="DX18" s="5">
        <f t="shared" si="24"/>
        <v>0</v>
      </c>
      <c r="DY18" s="5"/>
      <c r="DZ18" s="52">
        <f t="shared" si="25"/>
        <v>0</v>
      </c>
      <c r="EA18" s="58">
        <f t="shared" ref="EA18" si="139">SUM(DZ20:DZ26)</f>
        <v>0</v>
      </c>
      <c r="EB18" s="59" t="e">
        <f>IF(EA18&gt;$G$2,EA18-$G$2,0)+SUM(#REF!)</f>
        <v>#REF!</v>
      </c>
    </row>
    <row r="19" spans="1:132" x14ac:dyDescent="0.3">
      <c r="A19" s="24"/>
      <c r="B19" s="14">
        <f t="shared" si="27"/>
        <v>2</v>
      </c>
      <c r="C19" s="67">
        <f t="shared" si="55"/>
        <v>43838</v>
      </c>
      <c r="D19" s="62">
        <f>DATE($E$3,1,8)</f>
        <v>43838</v>
      </c>
      <c r="E19" s="4">
        <v>0.375</v>
      </c>
      <c r="F19" s="3">
        <v>0.75</v>
      </c>
      <c r="G19" s="5">
        <f t="shared" si="77"/>
        <v>0.375</v>
      </c>
      <c r="H19" s="5">
        <v>4.1666666666666664E-2</v>
      </c>
      <c r="I19" s="52">
        <f t="shared" si="28"/>
        <v>0.33333333333333331</v>
      </c>
      <c r="J19" s="77">
        <f t="shared" si="29"/>
        <v>0</v>
      </c>
      <c r="K19" s="59"/>
      <c r="M19" s="14">
        <f t="shared" si="30"/>
        <v>6</v>
      </c>
      <c r="N19" s="64">
        <f t="shared" si="56"/>
        <v>43869</v>
      </c>
      <c r="O19" s="62">
        <f>DATE($E$3,2,8)</f>
        <v>43869</v>
      </c>
      <c r="P19" s="4">
        <v>0.375</v>
      </c>
      <c r="Q19" s="3">
        <v>0.75</v>
      </c>
      <c r="R19" s="5">
        <v>0.375</v>
      </c>
      <c r="S19" s="5">
        <v>4.1666666666666664E-2</v>
      </c>
      <c r="T19" s="52">
        <f t="shared" si="57"/>
        <v>0.33333333333333331</v>
      </c>
      <c r="U19" s="79">
        <f>IF(WEEKDAY(N19,2)=7,SUMPRODUCT((_xlfn.ISOWEEKNUM(fevrier)=_xlfn.ISOWEEKNUM(N19))*(reelFevrier)),0)</f>
        <v>0</v>
      </c>
      <c r="V19" s="59"/>
      <c r="X19" s="14">
        <f t="shared" si="31"/>
        <v>10</v>
      </c>
      <c r="Y19" s="64">
        <f t="shared" si="58"/>
        <v>43898</v>
      </c>
      <c r="Z19" s="69">
        <f t="shared" si="59"/>
        <v>43898</v>
      </c>
      <c r="AA19" s="4"/>
      <c r="AB19" s="3"/>
      <c r="AC19" s="5">
        <f t="shared" ref="AC19:AC40" si="140">IF(AA19="repo","",IF(AA19="ferié","",(AB19-AA19)))</f>
        <v>0</v>
      </c>
      <c r="AD19" s="5"/>
      <c r="AE19" s="52">
        <f t="shared" si="60"/>
        <v>0</v>
      </c>
      <c r="AF19" s="79">
        <f>IF(WEEKDAY(Y19,2)=7,SUMPRODUCT((_xlfn.ISOWEEKNUM(Y$12:Y$42)=_xlfn.ISOWEEKNUM(Y19))*(AE$12:AE$42)),0)</f>
        <v>1.9999999999999998</v>
      </c>
      <c r="AG19" s="59"/>
      <c r="AI19" s="14">
        <f t="shared" si="33"/>
        <v>15</v>
      </c>
      <c r="AJ19" s="6">
        <f t="shared" si="61"/>
        <v>43929</v>
      </c>
      <c r="AK19" s="7">
        <f t="shared" si="61"/>
        <v>43929</v>
      </c>
      <c r="AL19" s="4"/>
      <c r="AM19" s="3"/>
      <c r="AN19" s="5">
        <f t="shared" si="34"/>
        <v>0</v>
      </c>
      <c r="AO19" s="5"/>
      <c r="AP19" s="52">
        <f t="shared" si="62"/>
        <v>0</v>
      </c>
      <c r="AQ19" s="58"/>
      <c r="AR19" s="59"/>
      <c r="AT19" s="14">
        <f t="shared" si="35"/>
        <v>19</v>
      </c>
      <c r="AU19" s="6">
        <f t="shared" ref="AU19:AV19" si="141">AU18+1</f>
        <v>43959</v>
      </c>
      <c r="AV19" s="7">
        <f t="shared" si="141"/>
        <v>43959</v>
      </c>
      <c r="AW19" s="4"/>
      <c r="AX19" s="3"/>
      <c r="AY19" s="5">
        <f t="shared" si="36"/>
        <v>0</v>
      </c>
      <c r="AZ19" s="5"/>
      <c r="BA19" s="52">
        <f t="shared" si="64"/>
        <v>0</v>
      </c>
      <c r="BB19" s="58"/>
      <c r="BC19" s="59"/>
      <c r="BE19" s="14">
        <f t="shared" si="37"/>
        <v>24</v>
      </c>
      <c r="BF19" s="6">
        <f t="shared" ref="BF19:BG19" si="142">BF18+1</f>
        <v>43990</v>
      </c>
      <c r="BG19" s="7">
        <f t="shared" si="142"/>
        <v>43990</v>
      </c>
      <c r="BH19" s="4"/>
      <c r="BI19" s="3"/>
      <c r="BJ19" s="5">
        <f t="shared" si="0"/>
        <v>0</v>
      </c>
      <c r="BK19" s="5"/>
      <c r="BL19" s="52">
        <f t="shared" si="1"/>
        <v>0</v>
      </c>
      <c r="BM19" s="58"/>
      <c r="BN19" s="59"/>
      <c r="BP19" s="14">
        <f t="shared" si="3"/>
        <v>28</v>
      </c>
      <c r="BQ19" s="6">
        <f t="shared" ref="BQ19:BR19" si="143">BQ18+1</f>
        <v>44020</v>
      </c>
      <c r="BR19" s="7">
        <f t="shared" si="143"/>
        <v>44020</v>
      </c>
      <c r="BS19" s="4"/>
      <c r="BT19" s="3"/>
      <c r="BU19" s="5">
        <f t="shared" si="4"/>
        <v>0</v>
      </c>
      <c r="BV19" s="5"/>
      <c r="BW19" s="52">
        <f t="shared" si="5"/>
        <v>0</v>
      </c>
      <c r="BX19" s="58"/>
      <c r="BY19" s="59"/>
      <c r="CA19" s="14">
        <f t="shared" ref="CA19" si="144">IFERROR(_xlfn.ISOWEEKNUM(CB19),"")</f>
        <v>32</v>
      </c>
      <c r="CB19" s="6">
        <f t="shared" ref="CB19:CC19" si="145">CB18+1</f>
        <v>44051</v>
      </c>
      <c r="CC19" s="7">
        <f t="shared" si="145"/>
        <v>44051</v>
      </c>
      <c r="CD19" s="4"/>
      <c r="CE19" s="3"/>
      <c r="CF19" s="5">
        <f t="shared" si="8"/>
        <v>0</v>
      </c>
      <c r="CG19" s="5"/>
      <c r="CH19" s="52">
        <f t="shared" si="9"/>
        <v>0</v>
      </c>
      <c r="CI19" s="58"/>
      <c r="CJ19" s="59"/>
      <c r="CL19" s="14">
        <f t="shared" ref="CL19" si="146">IFERROR(_xlfn.ISOWEEKNUM(CM19),"")</f>
        <v>37</v>
      </c>
      <c r="CM19" s="6">
        <f t="shared" ref="CM19:CN19" si="147">CM18+1</f>
        <v>44082</v>
      </c>
      <c r="CN19" s="7">
        <f t="shared" si="147"/>
        <v>44082</v>
      </c>
      <c r="CO19" s="4"/>
      <c r="CP19" s="3"/>
      <c r="CQ19" s="5">
        <f t="shared" si="12"/>
        <v>0</v>
      </c>
      <c r="CR19" s="5"/>
      <c r="CS19" s="52">
        <f t="shared" si="13"/>
        <v>0</v>
      </c>
      <c r="CT19" s="58"/>
      <c r="CU19" s="59"/>
      <c r="CW19" s="14">
        <f t="shared" ref="CW19" si="148">IFERROR(_xlfn.ISOWEEKNUM(CX19),"")</f>
        <v>41</v>
      </c>
      <c r="CX19" s="6">
        <f t="shared" ref="CX19:CY19" si="149">CX18+1</f>
        <v>44112</v>
      </c>
      <c r="CY19" s="7">
        <f t="shared" si="149"/>
        <v>44112</v>
      </c>
      <c r="CZ19" s="4"/>
      <c r="DA19" s="3"/>
      <c r="DB19" s="5">
        <f t="shared" si="16"/>
        <v>0</v>
      </c>
      <c r="DC19" s="5"/>
      <c r="DD19" s="52">
        <f t="shared" si="17"/>
        <v>0</v>
      </c>
      <c r="DE19" s="58"/>
      <c r="DF19" s="59"/>
      <c r="DH19" s="14">
        <f t="shared" ref="DH19" si="150">IFERROR(_xlfn.ISOWEEKNUM(DI19),"")</f>
        <v>45</v>
      </c>
      <c r="DI19" s="6">
        <f t="shared" ref="DI19:DJ19" si="151">DI18+1</f>
        <v>44143</v>
      </c>
      <c r="DJ19" s="7">
        <f t="shared" si="151"/>
        <v>44143</v>
      </c>
      <c r="DK19" s="4"/>
      <c r="DL19" s="3"/>
      <c r="DM19" s="5">
        <f t="shared" si="20"/>
        <v>0</v>
      </c>
      <c r="DN19" s="5"/>
      <c r="DO19" s="52">
        <f t="shared" si="21"/>
        <v>0</v>
      </c>
      <c r="DP19" s="58"/>
      <c r="DQ19" s="59"/>
      <c r="DS19" s="14">
        <f t="shared" ref="DS19" si="152">IFERROR(_xlfn.ISOWEEKNUM(DT19),"")</f>
        <v>50</v>
      </c>
      <c r="DT19" s="6">
        <f t="shared" ref="DT19:DU19" si="153">DT18+1</f>
        <v>44173</v>
      </c>
      <c r="DU19" s="7">
        <f t="shared" si="153"/>
        <v>44173</v>
      </c>
      <c r="DV19" s="4"/>
      <c r="DW19" s="3"/>
      <c r="DX19" s="5">
        <f t="shared" si="24"/>
        <v>0</v>
      </c>
      <c r="DY19" s="5"/>
      <c r="DZ19" s="52">
        <f t="shared" si="25"/>
        <v>0</v>
      </c>
      <c r="EA19" s="58"/>
      <c r="EB19" s="59"/>
    </row>
    <row r="20" spans="1:132" x14ac:dyDescent="0.3">
      <c r="A20" s="24"/>
      <c r="B20" s="14">
        <f t="shared" si="27"/>
        <v>2</v>
      </c>
      <c r="C20" s="67">
        <f t="shared" si="55"/>
        <v>43839</v>
      </c>
      <c r="D20" s="62">
        <f>DATE($E$3,1,9)</f>
        <v>43839</v>
      </c>
      <c r="E20" s="4">
        <v>0.375</v>
      </c>
      <c r="F20" s="3">
        <v>0.75</v>
      </c>
      <c r="G20" s="5">
        <f t="shared" si="77"/>
        <v>0.375</v>
      </c>
      <c r="H20" s="5">
        <v>4.1666666666666664E-2</v>
      </c>
      <c r="I20" s="52">
        <f t="shared" si="28"/>
        <v>0.33333333333333331</v>
      </c>
      <c r="J20" s="77">
        <f t="shared" si="29"/>
        <v>0</v>
      </c>
      <c r="K20" s="59"/>
      <c r="M20" s="14">
        <f t="shared" si="30"/>
        <v>6</v>
      </c>
      <c r="N20" s="64">
        <f t="shared" si="56"/>
        <v>43870</v>
      </c>
      <c r="O20" s="62">
        <f>DATE($E$3,2,9)</f>
        <v>43870</v>
      </c>
      <c r="P20" s="4">
        <v>0.375</v>
      </c>
      <c r="Q20" s="3">
        <v>0.75</v>
      </c>
      <c r="R20" s="5">
        <v>0.375</v>
      </c>
      <c r="S20" s="5">
        <v>4.1666666666666664E-2</v>
      </c>
      <c r="T20" s="52">
        <f t="shared" si="57"/>
        <v>0.33333333333333331</v>
      </c>
      <c r="U20" s="79">
        <f ca="1">IF(WEEKDAY(N20,2)=7,SUMPRODUCT((_xlfn.ISOWEEKNUM(fevrier)=_xlfn.ISOWEEKNUM(N20))*(reelFevrier)),0)</f>
        <v>1.9999999999999998</v>
      </c>
      <c r="V20" s="59"/>
      <c r="X20" s="14">
        <f t="shared" si="31"/>
        <v>11</v>
      </c>
      <c r="Y20" s="64">
        <f t="shared" si="58"/>
        <v>43899</v>
      </c>
      <c r="Z20" s="69">
        <f t="shared" si="59"/>
        <v>43899</v>
      </c>
      <c r="AA20" s="4">
        <v>0.375</v>
      </c>
      <c r="AB20" s="3">
        <v>0.75</v>
      </c>
      <c r="AC20" s="5">
        <v>0.375</v>
      </c>
      <c r="AD20" s="5">
        <v>4.1666666666666664E-2</v>
      </c>
      <c r="AE20" s="52">
        <f t="shared" si="60"/>
        <v>0.33333333333333331</v>
      </c>
      <c r="AF20" s="79">
        <f t="shared" ref="AF20:AF42" si="154">IF(WEEKDAY(Y20,2)=7,SUMPRODUCT((_xlfn.ISOWEEKNUM(Y$12:Y$42)=_xlfn.ISOWEEKNUM(Y20))*(AE$12:AE$42)),0)</f>
        <v>0</v>
      </c>
      <c r="AG20" s="59"/>
      <c r="AI20" s="14">
        <f t="shared" si="33"/>
        <v>15</v>
      </c>
      <c r="AJ20" s="6">
        <f t="shared" si="61"/>
        <v>43930</v>
      </c>
      <c r="AK20" s="7">
        <f t="shared" si="61"/>
        <v>43930</v>
      </c>
      <c r="AL20" s="4"/>
      <c r="AM20" s="3"/>
      <c r="AN20" s="5">
        <f t="shared" si="34"/>
        <v>0</v>
      </c>
      <c r="AO20" s="5"/>
      <c r="AP20" s="52">
        <f t="shared" si="62"/>
        <v>0</v>
      </c>
      <c r="AQ20" s="58"/>
      <c r="AR20" s="59"/>
      <c r="AT20" s="14">
        <f t="shared" si="35"/>
        <v>19</v>
      </c>
      <c r="AU20" s="6">
        <f t="shared" ref="AU20:AV20" si="155">AU19+1</f>
        <v>43960</v>
      </c>
      <c r="AV20" s="7">
        <f t="shared" si="155"/>
        <v>43960</v>
      </c>
      <c r="AW20" s="4"/>
      <c r="AX20" s="3"/>
      <c r="AY20" s="5">
        <f t="shared" si="36"/>
        <v>0</v>
      </c>
      <c r="AZ20" s="5"/>
      <c r="BA20" s="52">
        <f t="shared" si="64"/>
        <v>0</v>
      </c>
      <c r="BB20" s="58"/>
      <c r="BC20" s="59"/>
      <c r="BE20" s="14">
        <f t="shared" si="37"/>
        <v>24</v>
      </c>
      <c r="BF20" s="6">
        <f t="shared" ref="BF20:BG20" si="156">BF19+1</f>
        <v>43991</v>
      </c>
      <c r="BG20" s="7">
        <f t="shared" si="156"/>
        <v>43991</v>
      </c>
      <c r="BH20" s="4"/>
      <c r="BI20" s="3"/>
      <c r="BJ20" s="5">
        <f t="shared" si="0"/>
        <v>0</v>
      </c>
      <c r="BK20" s="5"/>
      <c r="BL20" s="52">
        <f t="shared" si="1"/>
        <v>0</v>
      </c>
      <c r="BM20" s="58"/>
      <c r="BN20" s="59"/>
      <c r="BP20" s="14">
        <f t="shared" si="3"/>
        <v>28</v>
      </c>
      <c r="BQ20" s="6">
        <f t="shared" ref="BQ20:BR20" si="157">BQ19+1</f>
        <v>44021</v>
      </c>
      <c r="BR20" s="7">
        <f t="shared" si="157"/>
        <v>44021</v>
      </c>
      <c r="BS20" s="4"/>
      <c r="BT20" s="3"/>
      <c r="BU20" s="5">
        <f t="shared" si="4"/>
        <v>0</v>
      </c>
      <c r="BV20" s="5"/>
      <c r="BW20" s="52">
        <f t="shared" si="5"/>
        <v>0</v>
      </c>
      <c r="BX20" s="58"/>
      <c r="BY20" s="59"/>
      <c r="CA20" s="14">
        <f t="shared" ref="CA20" si="158">IFERROR(_xlfn.ISOWEEKNUM(CB20),"")</f>
        <v>32</v>
      </c>
      <c r="CB20" s="6">
        <f t="shared" ref="CB20:CC20" si="159">CB19+1</f>
        <v>44052</v>
      </c>
      <c r="CC20" s="7">
        <f t="shared" si="159"/>
        <v>44052</v>
      </c>
      <c r="CD20" s="4"/>
      <c r="CE20" s="3"/>
      <c r="CF20" s="5">
        <f t="shared" si="8"/>
        <v>0</v>
      </c>
      <c r="CG20" s="5"/>
      <c r="CH20" s="52">
        <f t="shared" si="9"/>
        <v>0</v>
      </c>
      <c r="CI20" s="58"/>
      <c r="CJ20" s="59"/>
      <c r="CL20" s="14">
        <f t="shared" ref="CL20" si="160">IFERROR(_xlfn.ISOWEEKNUM(CM20),"")</f>
        <v>37</v>
      </c>
      <c r="CM20" s="6">
        <f t="shared" ref="CM20:CN20" si="161">CM19+1</f>
        <v>44083</v>
      </c>
      <c r="CN20" s="7">
        <f t="shared" si="161"/>
        <v>44083</v>
      </c>
      <c r="CO20" s="4"/>
      <c r="CP20" s="3"/>
      <c r="CQ20" s="5">
        <f t="shared" si="12"/>
        <v>0</v>
      </c>
      <c r="CR20" s="5"/>
      <c r="CS20" s="52">
        <f t="shared" si="13"/>
        <v>0</v>
      </c>
      <c r="CT20" s="58"/>
      <c r="CU20" s="59"/>
      <c r="CW20" s="14">
        <f t="shared" ref="CW20" si="162">IFERROR(_xlfn.ISOWEEKNUM(CX20),"")</f>
        <v>41</v>
      </c>
      <c r="CX20" s="6">
        <f t="shared" ref="CX20:CY20" si="163">CX19+1</f>
        <v>44113</v>
      </c>
      <c r="CY20" s="7">
        <f t="shared" si="163"/>
        <v>44113</v>
      </c>
      <c r="CZ20" s="4"/>
      <c r="DA20" s="3"/>
      <c r="DB20" s="5">
        <f t="shared" si="16"/>
        <v>0</v>
      </c>
      <c r="DC20" s="5"/>
      <c r="DD20" s="52">
        <f t="shared" si="17"/>
        <v>0</v>
      </c>
      <c r="DE20" s="58"/>
      <c r="DF20" s="59"/>
      <c r="DH20" s="14">
        <f t="shared" ref="DH20" si="164">IFERROR(_xlfn.ISOWEEKNUM(DI20),"")</f>
        <v>46</v>
      </c>
      <c r="DI20" s="6">
        <f t="shared" ref="DI20:DJ20" si="165">DI19+1</f>
        <v>44144</v>
      </c>
      <c r="DJ20" s="7">
        <f t="shared" si="165"/>
        <v>44144</v>
      </c>
      <c r="DK20" s="4"/>
      <c r="DL20" s="3"/>
      <c r="DM20" s="5">
        <f t="shared" si="20"/>
        <v>0</v>
      </c>
      <c r="DN20" s="5"/>
      <c r="DO20" s="52">
        <f t="shared" si="21"/>
        <v>0</v>
      </c>
      <c r="DP20" s="58"/>
      <c r="DQ20" s="59"/>
      <c r="DS20" s="14">
        <f t="shared" ref="DS20" si="166">IFERROR(_xlfn.ISOWEEKNUM(DT20),"")</f>
        <v>50</v>
      </c>
      <c r="DT20" s="6">
        <f t="shared" ref="DT20:DU20" si="167">DT19+1</f>
        <v>44174</v>
      </c>
      <c r="DU20" s="7">
        <f t="shared" si="167"/>
        <v>44174</v>
      </c>
      <c r="DV20" s="4"/>
      <c r="DW20" s="3"/>
      <c r="DX20" s="5">
        <f t="shared" si="24"/>
        <v>0</v>
      </c>
      <c r="DY20" s="5"/>
      <c r="DZ20" s="52">
        <f t="shared" si="25"/>
        <v>0</v>
      </c>
      <c r="EA20" s="58"/>
      <c r="EB20" s="59"/>
    </row>
    <row r="21" spans="1:132" x14ac:dyDescent="0.3">
      <c r="A21" s="24"/>
      <c r="B21" s="14">
        <f t="shared" si="27"/>
        <v>2</v>
      </c>
      <c r="C21" s="67">
        <f t="shared" si="55"/>
        <v>43840</v>
      </c>
      <c r="D21" s="62">
        <f>DATE($E$3,1,10)</f>
        <v>43840</v>
      </c>
      <c r="E21" s="4"/>
      <c r="F21" s="3"/>
      <c r="G21" s="5"/>
      <c r="H21" s="5"/>
      <c r="I21" s="52">
        <f t="shared" si="28"/>
        <v>0</v>
      </c>
      <c r="J21" s="77">
        <f t="shared" si="29"/>
        <v>0</v>
      </c>
      <c r="K21" s="59"/>
      <c r="M21" s="14">
        <f t="shared" si="30"/>
        <v>7</v>
      </c>
      <c r="N21" s="64">
        <f t="shared" si="56"/>
        <v>43871</v>
      </c>
      <c r="O21" s="62">
        <f>DATE($E$3,2,10)</f>
        <v>43871</v>
      </c>
      <c r="P21" s="4">
        <v>0.375</v>
      </c>
      <c r="Q21" s="3">
        <v>0.75</v>
      </c>
      <c r="R21" s="5">
        <v>0.375</v>
      </c>
      <c r="S21" s="5">
        <v>4.1666666666666664E-2</v>
      </c>
      <c r="T21" s="52">
        <f t="shared" si="57"/>
        <v>0.33333333333333331</v>
      </c>
      <c r="U21" s="79">
        <f>IF(WEEKDAY(N21,2)=7,SUMPRODUCT((_xlfn.ISOWEEKNUM(fevrier)=_xlfn.ISOWEEKNUM(N21))*(reelFevrier)),0)</f>
        <v>0</v>
      </c>
      <c r="V21" s="59"/>
      <c r="X21" s="14">
        <f t="shared" si="31"/>
        <v>11</v>
      </c>
      <c r="Y21" s="64">
        <f t="shared" si="58"/>
        <v>43900</v>
      </c>
      <c r="Z21" s="69">
        <f t="shared" si="59"/>
        <v>43900</v>
      </c>
      <c r="AA21" s="4">
        <v>0.375</v>
      </c>
      <c r="AB21" s="3">
        <v>0.75</v>
      </c>
      <c r="AC21" s="5">
        <v>0.375</v>
      </c>
      <c r="AD21" s="5">
        <v>4.1666666666666664E-2</v>
      </c>
      <c r="AE21" s="52">
        <f t="shared" si="60"/>
        <v>0.33333333333333331</v>
      </c>
      <c r="AF21" s="79">
        <f t="shared" si="154"/>
        <v>0</v>
      </c>
      <c r="AG21" s="59"/>
      <c r="AI21" s="14">
        <f t="shared" si="33"/>
        <v>15</v>
      </c>
      <c r="AJ21" s="6">
        <f t="shared" si="61"/>
        <v>43931</v>
      </c>
      <c r="AK21" s="7">
        <f t="shared" si="61"/>
        <v>43931</v>
      </c>
      <c r="AL21" s="4"/>
      <c r="AM21" s="3"/>
      <c r="AN21" s="5">
        <f t="shared" si="34"/>
        <v>0</v>
      </c>
      <c r="AO21" s="5"/>
      <c r="AP21" s="52">
        <f t="shared" si="62"/>
        <v>0</v>
      </c>
      <c r="AQ21" s="58"/>
      <c r="AR21" s="59"/>
      <c r="AT21" s="14">
        <f t="shared" si="35"/>
        <v>19</v>
      </c>
      <c r="AU21" s="6">
        <f t="shared" ref="AU21:AV21" si="168">AU20+1</f>
        <v>43961</v>
      </c>
      <c r="AV21" s="7">
        <f t="shared" si="168"/>
        <v>43961</v>
      </c>
      <c r="AW21" s="4"/>
      <c r="AX21" s="3"/>
      <c r="AY21" s="5">
        <f t="shared" si="36"/>
        <v>0</v>
      </c>
      <c r="AZ21" s="5"/>
      <c r="BA21" s="52">
        <f t="shared" si="64"/>
        <v>0</v>
      </c>
      <c r="BB21" s="58"/>
      <c r="BC21" s="59"/>
      <c r="BE21" s="14">
        <f t="shared" si="37"/>
        <v>24</v>
      </c>
      <c r="BF21" s="6">
        <f t="shared" ref="BF21:BG21" si="169">BF20+1</f>
        <v>43992</v>
      </c>
      <c r="BG21" s="7">
        <f t="shared" si="169"/>
        <v>43992</v>
      </c>
      <c r="BH21" s="4"/>
      <c r="BI21" s="3"/>
      <c r="BJ21" s="5">
        <f t="shared" si="0"/>
        <v>0</v>
      </c>
      <c r="BK21" s="5"/>
      <c r="BL21" s="52">
        <f t="shared" si="1"/>
        <v>0</v>
      </c>
      <c r="BM21" s="58"/>
      <c r="BN21" s="59"/>
      <c r="BP21" s="14">
        <f t="shared" si="3"/>
        <v>28</v>
      </c>
      <c r="BQ21" s="6">
        <f t="shared" ref="BQ21:BR21" si="170">BQ20+1</f>
        <v>44022</v>
      </c>
      <c r="BR21" s="7">
        <f t="shared" si="170"/>
        <v>44022</v>
      </c>
      <c r="BS21" s="4"/>
      <c r="BT21" s="3"/>
      <c r="BU21" s="5">
        <f t="shared" si="4"/>
        <v>0</v>
      </c>
      <c r="BV21" s="5"/>
      <c r="BW21" s="52">
        <f t="shared" si="5"/>
        <v>0</v>
      </c>
      <c r="BX21" s="58"/>
      <c r="BY21" s="59"/>
      <c r="CA21" s="14">
        <f t="shared" ref="CA21" si="171">IFERROR(_xlfn.ISOWEEKNUM(CB21),"")</f>
        <v>33</v>
      </c>
      <c r="CB21" s="6">
        <f t="shared" ref="CB21:CC21" si="172">CB20+1</f>
        <v>44053</v>
      </c>
      <c r="CC21" s="7">
        <f t="shared" si="172"/>
        <v>44053</v>
      </c>
      <c r="CD21" s="4"/>
      <c r="CE21" s="3"/>
      <c r="CF21" s="5">
        <f t="shared" si="8"/>
        <v>0</v>
      </c>
      <c r="CG21" s="5"/>
      <c r="CH21" s="52">
        <f t="shared" si="9"/>
        <v>0</v>
      </c>
      <c r="CI21" s="58"/>
      <c r="CJ21" s="59"/>
      <c r="CL21" s="14">
        <f t="shared" ref="CL21" si="173">IFERROR(_xlfn.ISOWEEKNUM(CM21),"")</f>
        <v>37</v>
      </c>
      <c r="CM21" s="6">
        <f t="shared" ref="CM21:CN21" si="174">CM20+1</f>
        <v>44084</v>
      </c>
      <c r="CN21" s="7">
        <f t="shared" si="174"/>
        <v>44084</v>
      </c>
      <c r="CO21" s="4"/>
      <c r="CP21" s="3"/>
      <c r="CQ21" s="5">
        <f t="shared" si="12"/>
        <v>0</v>
      </c>
      <c r="CR21" s="5"/>
      <c r="CS21" s="52">
        <f t="shared" si="13"/>
        <v>0</v>
      </c>
      <c r="CT21" s="58"/>
      <c r="CU21" s="59"/>
      <c r="CW21" s="14">
        <f t="shared" ref="CW21" si="175">IFERROR(_xlfn.ISOWEEKNUM(CX21),"")</f>
        <v>41</v>
      </c>
      <c r="CX21" s="6">
        <f t="shared" ref="CX21:CY21" si="176">CX20+1</f>
        <v>44114</v>
      </c>
      <c r="CY21" s="7">
        <f t="shared" si="176"/>
        <v>44114</v>
      </c>
      <c r="CZ21" s="4"/>
      <c r="DA21" s="3"/>
      <c r="DB21" s="5">
        <f t="shared" si="16"/>
        <v>0</v>
      </c>
      <c r="DC21" s="5"/>
      <c r="DD21" s="52">
        <f t="shared" si="17"/>
        <v>0</v>
      </c>
      <c r="DE21" s="58"/>
      <c r="DF21" s="59"/>
      <c r="DH21" s="14">
        <f t="shared" ref="DH21" si="177">IFERROR(_xlfn.ISOWEEKNUM(DI21),"")</f>
        <v>46</v>
      </c>
      <c r="DI21" s="6">
        <f t="shared" ref="DI21:DJ21" si="178">DI20+1</f>
        <v>44145</v>
      </c>
      <c r="DJ21" s="7">
        <f t="shared" si="178"/>
        <v>44145</v>
      </c>
      <c r="DK21" s="4"/>
      <c r="DL21" s="3"/>
      <c r="DM21" s="5">
        <f t="shared" si="20"/>
        <v>0</v>
      </c>
      <c r="DN21" s="5"/>
      <c r="DO21" s="52">
        <f t="shared" si="21"/>
        <v>0</v>
      </c>
      <c r="DP21" s="58"/>
      <c r="DQ21" s="59"/>
      <c r="DS21" s="14">
        <f t="shared" ref="DS21" si="179">IFERROR(_xlfn.ISOWEEKNUM(DT21),"")</f>
        <v>50</v>
      </c>
      <c r="DT21" s="6">
        <f t="shared" ref="DT21:DU21" si="180">DT20+1</f>
        <v>44175</v>
      </c>
      <c r="DU21" s="7">
        <f t="shared" si="180"/>
        <v>44175</v>
      </c>
      <c r="DV21" s="4"/>
      <c r="DW21" s="3"/>
      <c r="DX21" s="5">
        <f t="shared" si="24"/>
        <v>0</v>
      </c>
      <c r="DY21" s="5"/>
      <c r="DZ21" s="52">
        <f t="shared" si="25"/>
        <v>0</v>
      </c>
      <c r="EA21" s="58"/>
      <c r="EB21" s="59"/>
    </row>
    <row r="22" spans="1:132" x14ac:dyDescent="0.3">
      <c r="A22" s="24"/>
      <c r="B22" s="14">
        <f t="shared" si="27"/>
        <v>2</v>
      </c>
      <c r="C22" s="67">
        <f t="shared" si="55"/>
        <v>43841</v>
      </c>
      <c r="D22" s="62">
        <f>DATE($E$3,1,11)</f>
        <v>43841</v>
      </c>
      <c r="E22" s="4">
        <v>0.375</v>
      </c>
      <c r="F22" s="3">
        <v>0.75</v>
      </c>
      <c r="G22" s="5">
        <f t="shared" si="77"/>
        <v>0.375</v>
      </c>
      <c r="H22" s="5">
        <v>4.1666666666666664E-2</v>
      </c>
      <c r="I22" s="52">
        <f t="shared" si="28"/>
        <v>0.33333333333333331</v>
      </c>
      <c r="J22" s="77">
        <f t="shared" si="29"/>
        <v>0</v>
      </c>
      <c r="K22" s="59"/>
      <c r="M22" s="14">
        <f t="shared" si="30"/>
        <v>7</v>
      </c>
      <c r="N22" s="64">
        <f t="shared" si="56"/>
        <v>43872</v>
      </c>
      <c r="O22" s="62">
        <f>DATE($E$3,2,11)</f>
        <v>43872</v>
      </c>
      <c r="P22" s="4">
        <v>0.375</v>
      </c>
      <c r="Q22" s="3">
        <v>0.75</v>
      </c>
      <c r="R22" s="5">
        <v>0.375</v>
      </c>
      <c r="S22" s="5">
        <v>4.1666666666666664E-2</v>
      </c>
      <c r="T22" s="52">
        <f t="shared" si="57"/>
        <v>0.33333333333333331</v>
      </c>
      <c r="U22" s="79">
        <f>IF(WEEKDAY(N22,2)=7,SUMPRODUCT((_xlfn.ISOWEEKNUM(fevrier)=_xlfn.ISOWEEKNUM(N22))*(reelFevrier)),0)</f>
        <v>0</v>
      </c>
      <c r="V22" s="59"/>
      <c r="X22" s="14">
        <f t="shared" si="31"/>
        <v>11</v>
      </c>
      <c r="Y22" s="64">
        <f t="shared" si="58"/>
        <v>43901</v>
      </c>
      <c r="Z22" s="69">
        <f t="shared" si="59"/>
        <v>43901</v>
      </c>
      <c r="AA22" s="4">
        <v>0.375</v>
      </c>
      <c r="AB22" s="3">
        <v>0.75</v>
      </c>
      <c r="AC22" s="5">
        <v>0.375</v>
      </c>
      <c r="AD22" s="5">
        <v>4.1666666666666664E-2</v>
      </c>
      <c r="AE22" s="52">
        <f t="shared" si="60"/>
        <v>0.33333333333333331</v>
      </c>
      <c r="AF22" s="79">
        <f t="shared" si="154"/>
        <v>0</v>
      </c>
      <c r="AG22" s="59"/>
      <c r="AI22" s="14">
        <f t="shared" si="33"/>
        <v>15</v>
      </c>
      <c r="AJ22" s="6">
        <f t="shared" si="61"/>
        <v>43932</v>
      </c>
      <c r="AK22" s="7">
        <f t="shared" si="61"/>
        <v>43932</v>
      </c>
      <c r="AL22" s="4"/>
      <c r="AM22" s="3"/>
      <c r="AN22" s="5">
        <f t="shared" si="34"/>
        <v>0</v>
      </c>
      <c r="AO22" s="5"/>
      <c r="AP22" s="52">
        <f t="shared" si="62"/>
        <v>0</v>
      </c>
      <c r="AQ22" s="58"/>
      <c r="AR22" s="59"/>
      <c r="AT22" s="14">
        <f t="shared" si="35"/>
        <v>20</v>
      </c>
      <c r="AU22" s="6">
        <f t="shared" ref="AU22:AV22" si="181">AU21+1</f>
        <v>43962</v>
      </c>
      <c r="AV22" s="7">
        <f t="shared" si="181"/>
        <v>43962</v>
      </c>
      <c r="AW22" s="4"/>
      <c r="AX22" s="3"/>
      <c r="AY22" s="5">
        <f t="shared" si="36"/>
        <v>0</v>
      </c>
      <c r="AZ22" s="5"/>
      <c r="BA22" s="52">
        <f t="shared" si="64"/>
        <v>0</v>
      </c>
      <c r="BB22" s="58"/>
      <c r="BC22" s="59"/>
      <c r="BE22" s="14">
        <f t="shared" si="37"/>
        <v>24</v>
      </c>
      <c r="BF22" s="6">
        <f t="shared" ref="BF22:BG22" si="182">BF21+1</f>
        <v>43993</v>
      </c>
      <c r="BG22" s="7">
        <f t="shared" si="182"/>
        <v>43993</v>
      </c>
      <c r="BH22" s="4"/>
      <c r="BI22" s="3"/>
      <c r="BJ22" s="5">
        <f t="shared" si="0"/>
        <v>0</v>
      </c>
      <c r="BK22" s="5"/>
      <c r="BL22" s="52">
        <f t="shared" si="1"/>
        <v>0</v>
      </c>
      <c r="BM22" s="58"/>
      <c r="BN22" s="59"/>
      <c r="BP22" s="14">
        <f t="shared" si="3"/>
        <v>28</v>
      </c>
      <c r="BQ22" s="6">
        <f t="shared" ref="BQ22:BR22" si="183">BQ21+1</f>
        <v>44023</v>
      </c>
      <c r="BR22" s="7">
        <f t="shared" si="183"/>
        <v>44023</v>
      </c>
      <c r="BS22" s="4"/>
      <c r="BT22" s="3"/>
      <c r="BU22" s="5">
        <f t="shared" si="4"/>
        <v>0</v>
      </c>
      <c r="BV22" s="5"/>
      <c r="BW22" s="52">
        <f t="shared" si="5"/>
        <v>0</v>
      </c>
      <c r="BX22" s="58"/>
      <c r="BY22" s="59"/>
      <c r="CA22" s="14">
        <f t="shared" ref="CA22" si="184">IFERROR(_xlfn.ISOWEEKNUM(CB22),"")</f>
        <v>33</v>
      </c>
      <c r="CB22" s="6">
        <f t="shared" ref="CB22:CC22" si="185">CB21+1</f>
        <v>44054</v>
      </c>
      <c r="CC22" s="7">
        <f t="shared" si="185"/>
        <v>44054</v>
      </c>
      <c r="CD22" s="4"/>
      <c r="CE22" s="3"/>
      <c r="CF22" s="5">
        <f t="shared" si="8"/>
        <v>0</v>
      </c>
      <c r="CG22" s="5"/>
      <c r="CH22" s="52">
        <f t="shared" si="9"/>
        <v>0</v>
      </c>
      <c r="CI22" s="58"/>
      <c r="CJ22" s="59"/>
      <c r="CL22" s="14">
        <f t="shared" ref="CL22" si="186">IFERROR(_xlfn.ISOWEEKNUM(CM22),"")</f>
        <v>37</v>
      </c>
      <c r="CM22" s="6">
        <f t="shared" ref="CM22:CN22" si="187">CM21+1</f>
        <v>44085</v>
      </c>
      <c r="CN22" s="7">
        <f t="shared" si="187"/>
        <v>44085</v>
      </c>
      <c r="CO22" s="4"/>
      <c r="CP22" s="3"/>
      <c r="CQ22" s="5">
        <f t="shared" si="12"/>
        <v>0</v>
      </c>
      <c r="CR22" s="5"/>
      <c r="CS22" s="52">
        <f t="shared" si="13"/>
        <v>0</v>
      </c>
      <c r="CT22" s="58"/>
      <c r="CU22" s="59"/>
      <c r="CW22" s="14">
        <f t="shared" ref="CW22" si="188">IFERROR(_xlfn.ISOWEEKNUM(CX22),"")</f>
        <v>41</v>
      </c>
      <c r="CX22" s="6">
        <f t="shared" ref="CX22:CY22" si="189">CX21+1</f>
        <v>44115</v>
      </c>
      <c r="CY22" s="7">
        <f t="shared" si="189"/>
        <v>44115</v>
      </c>
      <c r="CZ22" s="4"/>
      <c r="DA22" s="3"/>
      <c r="DB22" s="5">
        <f t="shared" si="16"/>
        <v>0</v>
      </c>
      <c r="DC22" s="5"/>
      <c r="DD22" s="52">
        <f t="shared" si="17"/>
        <v>0</v>
      </c>
      <c r="DE22" s="58"/>
      <c r="DF22" s="59"/>
      <c r="DH22" s="14">
        <f t="shared" ref="DH22" si="190">IFERROR(_xlfn.ISOWEEKNUM(DI22),"")</f>
        <v>46</v>
      </c>
      <c r="DI22" s="6">
        <f t="shared" ref="DI22:DJ22" si="191">DI21+1</f>
        <v>44146</v>
      </c>
      <c r="DJ22" s="7">
        <f t="shared" si="191"/>
        <v>44146</v>
      </c>
      <c r="DK22" s="4"/>
      <c r="DL22" s="3"/>
      <c r="DM22" s="5">
        <f t="shared" si="20"/>
        <v>0</v>
      </c>
      <c r="DN22" s="5"/>
      <c r="DO22" s="52">
        <f t="shared" si="21"/>
        <v>0</v>
      </c>
      <c r="DP22" s="58"/>
      <c r="DQ22" s="59"/>
      <c r="DS22" s="14">
        <f t="shared" ref="DS22" si="192">IFERROR(_xlfn.ISOWEEKNUM(DT22),"")</f>
        <v>50</v>
      </c>
      <c r="DT22" s="6">
        <f t="shared" ref="DT22:DU22" si="193">DT21+1</f>
        <v>44176</v>
      </c>
      <c r="DU22" s="7">
        <f t="shared" si="193"/>
        <v>44176</v>
      </c>
      <c r="DV22" s="4"/>
      <c r="DW22" s="3"/>
      <c r="DX22" s="5">
        <f t="shared" si="24"/>
        <v>0</v>
      </c>
      <c r="DY22" s="5"/>
      <c r="DZ22" s="52">
        <f t="shared" si="25"/>
        <v>0</v>
      </c>
      <c r="EA22" s="58"/>
      <c r="EB22" s="59"/>
    </row>
    <row r="23" spans="1:132" x14ac:dyDescent="0.3">
      <c r="A23" s="24"/>
      <c r="B23" s="14">
        <f t="shared" si="27"/>
        <v>2</v>
      </c>
      <c r="C23" s="67">
        <f t="shared" si="55"/>
        <v>43842</v>
      </c>
      <c r="D23" s="62">
        <f>DATE($E$3,1,12)</f>
        <v>43842</v>
      </c>
      <c r="E23" s="4"/>
      <c r="F23" s="3"/>
      <c r="G23" s="5" t="str">
        <f t="shared" si="77"/>
        <v/>
      </c>
      <c r="H23" s="5"/>
      <c r="I23" s="52">
        <f t="shared" si="28"/>
        <v>0</v>
      </c>
      <c r="J23" s="77">
        <f t="shared" si="29"/>
        <v>1.6666666666666665</v>
      </c>
      <c r="K23" s="59"/>
      <c r="M23" s="14">
        <f t="shared" si="30"/>
        <v>7</v>
      </c>
      <c r="N23" s="64">
        <f t="shared" si="56"/>
        <v>43873</v>
      </c>
      <c r="O23" s="62">
        <f>DATE($E$3,2,12)</f>
        <v>43873</v>
      </c>
      <c r="P23" s="4">
        <v>0.375</v>
      </c>
      <c r="Q23" s="3">
        <v>0.75</v>
      </c>
      <c r="R23" s="5">
        <v>0.375</v>
      </c>
      <c r="S23" s="5">
        <v>4.1666666666666664E-2</v>
      </c>
      <c r="T23" s="52">
        <f t="shared" si="57"/>
        <v>0.33333333333333331</v>
      </c>
      <c r="U23" s="79">
        <f>IF(WEEKDAY(N23,2)=7,SUMPRODUCT((_xlfn.ISOWEEKNUM(fevrier)=_xlfn.ISOWEEKNUM(N23))*(reelFevrier)),0)</f>
        <v>0</v>
      </c>
      <c r="V23" s="59"/>
      <c r="X23" s="14">
        <f t="shared" si="31"/>
        <v>11</v>
      </c>
      <c r="Y23" s="64">
        <f t="shared" si="58"/>
        <v>43902</v>
      </c>
      <c r="Z23" s="69">
        <f t="shared" si="59"/>
        <v>43902</v>
      </c>
      <c r="AA23" s="4">
        <v>0.375</v>
      </c>
      <c r="AB23" s="3">
        <v>0.75</v>
      </c>
      <c r="AC23" s="5">
        <v>0.375</v>
      </c>
      <c r="AD23" s="5">
        <v>4.1666666666666664E-2</v>
      </c>
      <c r="AE23" s="52">
        <f t="shared" si="60"/>
        <v>0.33333333333333331</v>
      </c>
      <c r="AF23" s="79">
        <f t="shared" si="154"/>
        <v>0</v>
      </c>
      <c r="AG23" s="59"/>
      <c r="AI23" s="14">
        <f t="shared" si="33"/>
        <v>15</v>
      </c>
      <c r="AJ23" s="6">
        <f t="shared" si="61"/>
        <v>43933</v>
      </c>
      <c r="AK23" s="7">
        <f t="shared" si="61"/>
        <v>43933</v>
      </c>
      <c r="AL23" s="4"/>
      <c r="AM23" s="3"/>
      <c r="AN23" s="5">
        <f t="shared" si="34"/>
        <v>0</v>
      </c>
      <c r="AO23" s="5"/>
      <c r="AP23" s="52">
        <f t="shared" si="62"/>
        <v>0</v>
      </c>
      <c r="AQ23" s="58"/>
      <c r="AR23" s="59"/>
      <c r="AT23" s="14">
        <f t="shared" si="35"/>
        <v>20</v>
      </c>
      <c r="AU23" s="6">
        <f t="shared" ref="AU23:AV23" si="194">AU22+1</f>
        <v>43963</v>
      </c>
      <c r="AV23" s="7">
        <f t="shared" si="194"/>
        <v>43963</v>
      </c>
      <c r="AW23" s="4"/>
      <c r="AX23" s="3"/>
      <c r="AY23" s="5">
        <f t="shared" si="36"/>
        <v>0</v>
      </c>
      <c r="AZ23" s="5"/>
      <c r="BA23" s="52">
        <f t="shared" si="64"/>
        <v>0</v>
      </c>
      <c r="BB23" s="58"/>
      <c r="BC23" s="59"/>
      <c r="BE23" s="14">
        <f t="shared" si="37"/>
        <v>24</v>
      </c>
      <c r="BF23" s="6">
        <f t="shared" ref="BF23:BG23" si="195">BF22+1</f>
        <v>43994</v>
      </c>
      <c r="BG23" s="7">
        <f t="shared" si="195"/>
        <v>43994</v>
      </c>
      <c r="BH23" s="4"/>
      <c r="BI23" s="3"/>
      <c r="BJ23" s="5">
        <f t="shared" si="0"/>
        <v>0</v>
      </c>
      <c r="BK23" s="5"/>
      <c r="BL23" s="52">
        <f t="shared" si="1"/>
        <v>0</v>
      </c>
      <c r="BM23" s="58"/>
      <c r="BN23" s="59"/>
      <c r="BP23" s="14">
        <f t="shared" si="3"/>
        <v>28</v>
      </c>
      <c r="BQ23" s="6">
        <f t="shared" ref="BQ23:BR23" si="196">BQ22+1</f>
        <v>44024</v>
      </c>
      <c r="BR23" s="7">
        <f t="shared" si="196"/>
        <v>44024</v>
      </c>
      <c r="BS23" s="4"/>
      <c r="BT23" s="3"/>
      <c r="BU23" s="5">
        <f t="shared" si="4"/>
        <v>0</v>
      </c>
      <c r="BV23" s="5"/>
      <c r="BW23" s="52">
        <f t="shared" si="5"/>
        <v>0</v>
      </c>
      <c r="BX23" s="58"/>
      <c r="BY23" s="59"/>
      <c r="CA23" s="14">
        <f t="shared" ref="CA23" si="197">IFERROR(_xlfn.ISOWEEKNUM(CB23),"")</f>
        <v>33</v>
      </c>
      <c r="CB23" s="6">
        <f t="shared" ref="CB23:CC23" si="198">CB22+1</f>
        <v>44055</v>
      </c>
      <c r="CC23" s="7">
        <f t="shared" si="198"/>
        <v>44055</v>
      </c>
      <c r="CD23" s="4"/>
      <c r="CE23" s="3"/>
      <c r="CF23" s="5">
        <f t="shared" si="8"/>
        <v>0</v>
      </c>
      <c r="CG23" s="5"/>
      <c r="CH23" s="52">
        <f t="shared" si="9"/>
        <v>0</v>
      </c>
      <c r="CI23" s="58"/>
      <c r="CJ23" s="59"/>
      <c r="CL23" s="14">
        <f t="shared" ref="CL23" si="199">IFERROR(_xlfn.ISOWEEKNUM(CM23),"")</f>
        <v>37</v>
      </c>
      <c r="CM23" s="6">
        <f t="shared" ref="CM23:CN23" si="200">CM22+1</f>
        <v>44086</v>
      </c>
      <c r="CN23" s="7">
        <f t="shared" si="200"/>
        <v>44086</v>
      </c>
      <c r="CO23" s="4"/>
      <c r="CP23" s="3"/>
      <c r="CQ23" s="5">
        <f t="shared" si="12"/>
        <v>0</v>
      </c>
      <c r="CR23" s="5"/>
      <c r="CS23" s="52">
        <f t="shared" si="13"/>
        <v>0</v>
      </c>
      <c r="CT23" s="58"/>
      <c r="CU23" s="59"/>
      <c r="CW23" s="14">
        <f t="shared" ref="CW23" si="201">IFERROR(_xlfn.ISOWEEKNUM(CX23),"")</f>
        <v>42</v>
      </c>
      <c r="CX23" s="6">
        <f t="shared" ref="CX23:CY23" si="202">CX22+1</f>
        <v>44116</v>
      </c>
      <c r="CY23" s="7">
        <f t="shared" si="202"/>
        <v>44116</v>
      </c>
      <c r="CZ23" s="4"/>
      <c r="DA23" s="3"/>
      <c r="DB23" s="5">
        <f t="shared" si="16"/>
        <v>0</v>
      </c>
      <c r="DC23" s="5"/>
      <c r="DD23" s="52">
        <f t="shared" si="17"/>
        <v>0</v>
      </c>
      <c r="DE23" s="58"/>
      <c r="DF23" s="59"/>
      <c r="DH23" s="14">
        <f t="shared" ref="DH23" si="203">IFERROR(_xlfn.ISOWEEKNUM(DI23),"")</f>
        <v>46</v>
      </c>
      <c r="DI23" s="6">
        <f t="shared" ref="DI23:DJ23" si="204">DI22+1</f>
        <v>44147</v>
      </c>
      <c r="DJ23" s="7">
        <f t="shared" si="204"/>
        <v>44147</v>
      </c>
      <c r="DK23" s="4"/>
      <c r="DL23" s="3"/>
      <c r="DM23" s="5">
        <f t="shared" si="20"/>
        <v>0</v>
      </c>
      <c r="DN23" s="5"/>
      <c r="DO23" s="52">
        <f t="shared" si="21"/>
        <v>0</v>
      </c>
      <c r="DP23" s="58"/>
      <c r="DQ23" s="59"/>
      <c r="DS23" s="14">
        <f t="shared" ref="DS23" si="205">IFERROR(_xlfn.ISOWEEKNUM(DT23),"")</f>
        <v>50</v>
      </c>
      <c r="DT23" s="6">
        <f t="shared" ref="DT23:DU23" si="206">DT22+1</f>
        <v>44177</v>
      </c>
      <c r="DU23" s="7">
        <f t="shared" si="206"/>
        <v>44177</v>
      </c>
      <c r="DV23" s="4"/>
      <c r="DW23" s="3"/>
      <c r="DX23" s="5">
        <f t="shared" si="24"/>
        <v>0</v>
      </c>
      <c r="DY23" s="5"/>
      <c r="DZ23" s="52">
        <f t="shared" si="25"/>
        <v>0</v>
      </c>
      <c r="EA23" s="58"/>
      <c r="EB23" s="59"/>
    </row>
    <row r="24" spans="1:132" x14ac:dyDescent="0.3">
      <c r="A24" s="24"/>
      <c r="B24" s="14">
        <f t="shared" si="27"/>
        <v>3</v>
      </c>
      <c r="C24" s="67">
        <f t="shared" si="55"/>
        <v>43843</v>
      </c>
      <c r="D24" s="62">
        <f>DATE($E$3,1,13)</f>
        <v>43843</v>
      </c>
      <c r="E24" s="4">
        <v>0.375</v>
      </c>
      <c r="F24" s="3">
        <v>0.75</v>
      </c>
      <c r="G24" s="5">
        <v>0.375</v>
      </c>
      <c r="H24" s="5">
        <v>4.1666666666666664E-2</v>
      </c>
      <c r="I24" s="52">
        <f t="shared" si="28"/>
        <v>0.33333333333333331</v>
      </c>
      <c r="J24" s="77">
        <f t="shared" si="29"/>
        <v>0</v>
      </c>
      <c r="K24" s="59"/>
      <c r="M24" s="14">
        <f t="shared" si="30"/>
        <v>7</v>
      </c>
      <c r="N24" s="64">
        <f t="shared" si="56"/>
        <v>43874</v>
      </c>
      <c r="O24" s="62">
        <f>DATE($E$3,2,13)</f>
        <v>43874</v>
      </c>
      <c r="P24" s="4">
        <v>0.375</v>
      </c>
      <c r="Q24" s="3">
        <v>0.75</v>
      </c>
      <c r="R24" s="5">
        <v>0.375</v>
      </c>
      <c r="S24" s="5">
        <v>4.1666666666666664E-2</v>
      </c>
      <c r="T24" s="52">
        <f t="shared" si="57"/>
        <v>0.33333333333333331</v>
      </c>
      <c r="U24" s="79">
        <f>IF(WEEKDAY(N24,2)=7,SUMPRODUCT((_xlfn.ISOWEEKNUM(fevrier)=_xlfn.ISOWEEKNUM(N24))*(reelFevrier)),0)</f>
        <v>0</v>
      </c>
      <c r="V24" s="59"/>
      <c r="X24" s="14">
        <f t="shared" si="31"/>
        <v>11</v>
      </c>
      <c r="Y24" s="64">
        <f t="shared" si="58"/>
        <v>43903</v>
      </c>
      <c r="Z24" s="69">
        <f t="shared" si="59"/>
        <v>43903</v>
      </c>
      <c r="AA24" s="4">
        <v>0.375</v>
      </c>
      <c r="AB24" s="3">
        <v>0.75</v>
      </c>
      <c r="AC24" s="5">
        <v>0.375</v>
      </c>
      <c r="AD24" s="5">
        <v>4.1666666666666664E-2</v>
      </c>
      <c r="AE24" s="52">
        <f t="shared" si="60"/>
        <v>0.33333333333333331</v>
      </c>
      <c r="AF24" s="79">
        <f t="shared" si="154"/>
        <v>0</v>
      </c>
      <c r="AG24" s="59"/>
      <c r="AI24" s="14">
        <f t="shared" si="33"/>
        <v>16</v>
      </c>
      <c r="AJ24" s="6">
        <f t="shared" si="61"/>
        <v>43934</v>
      </c>
      <c r="AK24" s="7">
        <f t="shared" si="61"/>
        <v>43934</v>
      </c>
      <c r="AL24" s="4"/>
      <c r="AM24" s="3"/>
      <c r="AN24" s="5">
        <f t="shared" si="34"/>
        <v>0</v>
      </c>
      <c r="AO24" s="5"/>
      <c r="AP24" s="52">
        <f t="shared" si="62"/>
        <v>0</v>
      </c>
      <c r="AQ24" s="58"/>
      <c r="AR24" s="59"/>
      <c r="AT24" s="14">
        <f t="shared" si="35"/>
        <v>20</v>
      </c>
      <c r="AU24" s="6">
        <f t="shared" ref="AU24:AV24" si="207">AU23+1</f>
        <v>43964</v>
      </c>
      <c r="AV24" s="7">
        <f t="shared" si="207"/>
        <v>43964</v>
      </c>
      <c r="AW24" s="4"/>
      <c r="AX24" s="3"/>
      <c r="AY24" s="5">
        <f t="shared" si="36"/>
        <v>0</v>
      </c>
      <c r="AZ24" s="5"/>
      <c r="BA24" s="52">
        <f t="shared" si="64"/>
        <v>0</v>
      </c>
      <c r="BB24" s="58"/>
      <c r="BC24" s="59"/>
      <c r="BE24" s="14">
        <f t="shared" si="37"/>
        <v>24</v>
      </c>
      <c r="BF24" s="6">
        <f t="shared" ref="BF24:BG24" si="208">BF23+1</f>
        <v>43995</v>
      </c>
      <c r="BG24" s="7">
        <f t="shared" si="208"/>
        <v>43995</v>
      </c>
      <c r="BH24" s="4" t="s">
        <v>23</v>
      </c>
      <c r="BI24" s="3"/>
      <c r="BJ24" s="5" t="str">
        <f t="shared" si="0"/>
        <v/>
      </c>
      <c r="BK24" s="5"/>
      <c r="BL24" s="52" t="str">
        <f t="shared" si="1"/>
        <v/>
      </c>
      <c r="BM24" s="58"/>
      <c r="BN24" s="59"/>
      <c r="BP24" s="14">
        <f t="shared" si="3"/>
        <v>29</v>
      </c>
      <c r="BQ24" s="6">
        <f t="shared" ref="BQ24:BR24" si="209">BQ23+1</f>
        <v>44025</v>
      </c>
      <c r="BR24" s="7">
        <f t="shared" si="209"/>
        <v>44025</v>
      </c>
      <c r="BS24" s="4"/>
      <c r="BT24" s="3"/>
      <c r="BU24" s="5">
        <f t="shared" si="4"/>
        <v>0</v>
      </c>
      <c r="BV24" s="5"/>
      <c r="BW24" s="52">
        <f t="shared" si="5"/>
        <v>0</v>
      </c>
      <c r="BX24" s="58"/>
      <c r="BY24" s="59"/>
      <c r="CA24" s="14">
        <f t="shared" ref="CA24" si="210">IFERROR(_xlfn.ISOWEEKNUM(CB24),"")</f>
        <v>33</v>
      </c>
      <c r="CB24" s="6">
        <f t="shared" ref="CB24:CC24" si="211">CB23+1</f>
        <v>44056</v>
      </c>
      <c r="CC24" s="7">
        <f t="shared" si="211"/>
        <v>44056</v>
      </c>
      <c r="CD24" s="4"/>
      <c r="CE24" s="3"/>
      <c r="CF24" s="5">
        <f t="shared" si="8"/>
        <v>0</v>
      </c>
      <c r="CG24" s="5"/>
      <c r="CH24" s="52">
        <f t="shared" si="9"/>
        <v>0</v>
      </c>
      <c r="CI24" s="58"/>
      <c r="CJ24" s="59"/>
      <c r="CL24" s="14">
        <f t="shared" ref="CL24" si="212">IFERROR(_xlfn.ISOWEEKNUM(CM24),"")</f>
        <v>37</v>
      </c>
      <c r="CM24" s="6">
        <f t="shared" ref="CM24:CN24" si="213">CM23+1</f>
        <v>44087</v>
      </c>
      <c r="CN24" s="7">
        <f t="shared" si="213"/>
        <v>44087</v>
      </c>
      <c r="CO24" s="4"/>
      <c r="CP24" s="3"/>
      <c r="CQ24" s="5">
        <f t="shared" si="12"/>
        <v>0</v>
      </c>
      <c r="CR24" s="5"/>
      <c r="CS24" s="52">
        <f t="shared" si="13"/>
        <v>0</v>
      </c>
      <c r="CT24" s="58"/>
      <c r="CU24" s="59"/>
      <c r="CW24" s="14">
        <f t="shared" ref="CW24" si="214">IFERROR(_xlfn.ISOWEEKNUM(CX24),"")</f>
        <v>42</v>
      </c>
      <c r="CX24" s="6">
        <f t="shared" ref="CX24:CY24" si="215">CX23+1</f>
        <v>44117</v>
      </c>
      <c r="CY24" s="7">
        <f t="shared" si="215"/>
        <v>44117</v>
      </c>
      <c r="CZ24" s="4"/>
      <c r="DA24" s="3"/>
      <c r="DB24" s="5">
        <f t="shared" si="16"/>
        <v>0</v>
      </c>
      <c r="DC24" s="5"/>
      <c r="DD24" s="52">
        <f t="shared" si="17"/>
        <v>0</v>
      </c>
      <c r="DE24" s="58"/>
      <c r="DF24" s="59"/>
      <c r="DH24" s="14">
        <f t="shared" ref="DH24" si="216">IFERROR(_xlfn.ISOWEEKNUM(DI24),"")</f>
        <v>46</v>
      </c>
      <c r="DI24" s="6">
        <f t="shared" ref="DI24:DJ24" si="217">DI23+1</f>
        <v>44148</v>
      </c>
      <c r="DJ24" s="7">
        <f t="shared" si="217"/>
        <v>44148</v>
      </c>
      <c r="DK24" s="4"/>
      <c r="DL24" s="3"/>
      <c r="DM24" s="5">
        <f t="shared" si="20"/>
        <v>0</v>
      </c>
      <c r="DN24" s="5"/>
      <c r="DO24" s="52">
        <f t="shared" si="21"/>
        <v>0</v>
      </c>
      <c r="DP24" s="58"/>
      <c r="DQ24" s="59"/>
      <c r="DS24" s="14">
        <f t="shared" ref="DS24" si="218">IFERROR(_xlfn.ISOWEEKNUM(DT24),"")</f>
        <v>50</v>
      </c>
      <c r="DT24" s="6">
        <f t="shared" ref="DT24:DU24" si="219">DT23+1</f>
        <v>44178</v>
      </c>
      <c r="DU24" s="7">
        <f t="shared" si="219"/>
        <v>44178</v>
      </c>
      <c r="DV24" s="4"/>
      <c r="DW24" s="3"/>
      <c r="DX24" s="5">
        <f t="shared" si="24"/>
        <v>0</v>
      </c>
      <c r="DY24" s="5"/>
      <c r="DZ24" s="52">
        <f t="shared" si="25"/>
        <v>0</v>
      </c>
      <c r="EA24" s="58"/>
      <c r="EB24" s="59"/>
    </row>
    <row r="25" spans="1:132" x14ac:dyDescent="0.3">
      <c r="A25" s="24"/>
      <c r="B25" s="14">
        <f t="shared" si="27"/>
        <v>3</v>
      </c>
      <c r="C25" s="67">
        <f t="shared" si="55"/>
        <v>43844</v>
      </c>
      <c r="D25" s="62">
        <f>DATE($E$3,1,14)</f>
        <v>43844</v>
      </c>
      <c r="E25" s="4">
        <v>0.375</v>
      </c>
      <c r="F25" s="3">
        <v>0.75</v>
      </c>
      <c r="G25" s="5">
        <v>0.375</v>
      </c>
      <c r="H25" s="5">
        <v>4.1666666666666664E-2</v>
      </c>
      <c r="I25" s="52">
        <f t="shared" si="28"/>
        <v>0.33333333333333331</v>
      </c>
      <c r="J25" s="77">
        <f t="shared" si="29"/>
        <v>0</v>
      </c>
      <c r="K25" s="59"/>
      <c r="M25" s="14">
        <f t="shared" si="30"/>
        <v>7</v>
      </c>
      <c r="N25" s="64">
        <f t="shared" si="56"/>
        <v>43875</v>
      </c>
      <c r="O25" s="62">
        <f>DATE($E$3,2,14)</f>
        <v>43875</v>
      </c>
      <c r="P25" s="4"/>
      <c r="Q25" s="3"/>
      <c r="R25" s="5"/>
      <c r="S25" s="5"/>
      <c r="T25" s="52">
        <f t="shared" si="57"/>
        <v>0</v>
      </c>
      <c r="U25" s="79">
        <f>IF(WEEKDAY(N25,2)=7,SUMPRODUCT((_xlfn.ISOWEEKNUM(fevrier)=_xlfn.ISOWEEKNUM(N25))*(reelFevrier)),0)</f>
        <v>0</v>
      </c>
      <c r="V25" s="59"/>
      <c r="X25" s="14">
        <f t="shared" si="31"/>
        <v>11</v>
      </c>
      <c r="Y25" s="64">
        <f t="shared" si="58"/>
        <v>43904</v>
      </c>
      <c r="Z25" s="69">
        <f t="shared" si="59"/>
        <v>43904</v>
      </c>
      <c r="AA25" s="4">
        <v>0.375</v>
      </c>
      <c r="AB25" s="3">
        <v>0.75</v>
      </c>
      <c r="AC25" s="5">
        <v>0.375</v>
      </c>
      <c r="AD25" s="5">
        <v>4.1666666666666664E-2</v>
      </c>
      <c r="AE25" s="52">
        <f t="shared" si="60"/>
        <v>0.33333333333333331</v>
      </c>
      <c r="AF25" s="79">
        <f t="shared" si="154"/>
        <v>0</v>
      </c>
      <c r="AG25" s="59"/>
      <c r="AI25" s="14">
        <f t="shared" si="33"/>
        <v>16</v>
      </c>
      <c r="AJ25" s="6">
        <f t="shared" si="61"/>
        <v>43935</v>
      </c>
      <c r="AK25" s="7">
        <f t="shared" si="61"/>
        <v>43935</v>
      </c>
      <c r="AL25" s="4"/>
      <c r="AM25" s="3"/>
      <c r="AN25" s="5">
        <f t="shared" si="34"/>
        <v>0</v>
      </c>
      <c r="AO25" s="5"/>
      <c r="AP25" s="52">
        <f t="shared" si="62"/>
        <v>0</v>
      </c>
      <c r="AQ25" s="58">
        <f t="shared" ref="AQ25" si="220">SUM(AP27:AP33)</f>
        <v>0</v>
      </c>
      <c r="AR25" s="59">
        <f t="shared" ref="AR25" si="221">IF(AQ25&gt;$G$2,AQ25-$G$2,0)+SUM(AS25:AS31)</f>
        <v>0</v>
      </c>
      <c r="AT25" s="14">
        <f t="shared" si="35"/>
        <v>20</v>
      </c>
      <c r="AU25" s="6">
        <f t="shared" ref="AU25:AV25" si="222">AU24+1</f>
        <v>43965</v>
      </c>
      <c r="AV25" s="7">
        <f t="shared" si="222"/>
        <v>43965</v>
      </c>
      <c r="AW25" s="4"/>
      <c r="AX25" s="3"/>
      <c r="AY25" s="5">
        <f t="shared" si="36"/>
        <v>0</v>
      </c>
      <c r="AZ25" s="5"/>
      <c r="BA25" s="52">
        <f t="shared" si="64"/>
        <v>0</v>
      </c>
      <c r="BB25" s="58">
        <f t="shared" ref="BB25" si="223">SUM(BA27:BA33)</f>
        <v>0</v>
      </c>
      <c r="BC25" s="59">
        <f t="shared" ref="BC25" si="224">IF(BB25&gt;$G$2,BB25-$G$2,0)+SUM(BD25:BD31)</f>
        <v>0</v>
      </c>
      <c r="BE25" s="14">
        <f t="shared" si="37"/>
        <v>24</v>
      </c>
      <c r="BF25" s="6">
        <f t="shared" ref="BF25:BG25" si="225">BF24+1</f>
        <v>43996</v>
      </c>
      <c r="BG25" s="7">
        <f t="shared" si="225"/>
        <v>43996</v>
      </c>
      <c r="BH25" s="4"/>
      <c r="BI25" s="3"/>
      <c r="BJ25" s="5">
        <f t="shared" si="0"/>
        <v>0</v>
      </c>
      <c r="BK25" s="5"/>
      <c r="BL25" s="52">
        <f t="shared" si="1"/>
        <v>0</v>
      </c>
      <c r="BM25" s="58">
        <f t="shared" ref="BM25" si="226">SUM(BL27:BL33)</f>
        <v>0</v>
      </c>
      <c r="BN25" s="59">
        <f t="shared" ref="BN25" si="227">IF(BM25&gt;$G$2,BM25-$G$2,0)+SUM(BO25:BO31)</f>
        <v>0</v>
      </c>
      <c r="BP25" s="14">
        <f t="shared" si="3"/>
        <v>29</v>
      </c>
      <c r="BQ25" s="6">
        <f t="shared" ref="BQ25:BR25" si="228">BQ24+1</f>
        <v>44026</v>
      </c>
      <c r="BR25" s="7">
        <f t="shared" si="228"/>
        <v>44026</v>
      </c>
      <c r="BS25" s="4"/>
      <c r="BT25" s="3"/>
      <c r="BU25" s="5">
        <f t="shared" si="4"/>
        <v>0</v>
      </c>
      <c r="BV25" s="5"/>
      <c r="BW25" s="52">
        <f t="shared" si="5"/>
        <v>0</v>
      </c>
      <c r="BX25" s="58">
        <f t="shared" ref="BX25" si="229">SUM(BW27:BW33)</f>
        <v>0</v>
      </c>
      <c r="BY25" s="59">
        <f t="shared" ref="BY25" si="230">IF(BX25&gt;$G$2,BX25-$G$2,0)+SUM(BZ25:BZ31)</f>
        <v>0</v>
      </c>
      <c r="CA25" s="14">
        <f t="shared" ref="CA25" si="231">IFERROR(_xlfn.ISOWEEKNUM(CB25),"")</f>
        <v>33</v>
      </c>
      <c r="CB25" s="6">
        <f t="shared" ref="CB25:CC25" si="232">CB24+1</f>
        <v>44057</v>
      </c>
      <c r="CC25" s="7">
        <f t="shared" si="232"/>
        <v>44057</v>
      </c>
      <c r="CD25" s="4"/>
      <c r="CE25" s="3"/>
      <c r="CF25" s="5">
        <f t="shared" si="8"/>
        <v>0</v>
      </c>
      <c r="CG25" s="5"/>
      <c r="CH25" s="52">
        <f t="shared" si="9"/>
        <v>0</v>
      </c>
      <c r="CI25" s="58">
        <f t="shared" ref="CI25" si="233">SUM(CH27:CH33)</f>
        <v>0</v>
      </c>
      <c r="CJ25" s="59">
        <f t="shared" ref="CJ25" si="234">IF(CI25&gt;$G$2,CI25-$G$2,0)+SUM(CK25:CK31)</f>
        <v>0</v>
      </c>
      <c r="CL25" s="14">
        <f t="shared" ref="CL25" si="235">IFERROR(_xlfn.ISOWEEKNUM(CM25),"")</f>
        <v>38</v>
      </c>
      <c r="CM25" s="6">
        <f t="shared" ref="CM25:CN25" si="236">CM24+1</f>
        <v>44088</v>
      </c>
      <c r="CN25" s="7">
        <f t="shared" si="236"/>
        <v>44088</v>
      </c>
      <c r="CO25" s="4"/>
      <c r="CP25" s="3"/>
      <c r="CQ25" s="5">
        <f t="shared" si="12"/>
        <v>0</v>
      </c>
      <c r="CR25" s="5"/>
      <c r="CS25" s="52">
        <f t="shared" si="13"/>
        <v>0</v>
      </c>
      <c r="CT25" s="58">
        <f t="shared" ref="CT25" si="237">SUM(CS27:CS33)</f>
        <v>0</v>
      </c>
      <c r="CU25" s="59">
        <f t="shared" ref="CU25" si="238">IF(CT25&gt;$G$2,CT25-$G$2,0)+SUM(CV25:CV31)</f>
        <v>0</v>
      </c>
      <c r="CW25" s="14">
        <f t="shared" ref="CW25" si="239">IFERROR(_xlfn.ISOWEEKNUM(CX25),"")</f>
        <v>42</v>
      </c>
      <c r="CX25" s="6">
        <f t="shared" ref="CX25:CY25" si="240">CX24+1</f>
        <v>44118</v>
      </c>
      <c r="CY25" s="7">
        <f t="shared" si="240"/>
        <v>44118</v>
      </c>
      <c r="CZ25" s="4"/>
      <c r="DA25" s="3"/>
      <c r="DB25" s="5">
        <f t="shared" si="16"/>
        <v>0</v>
      </c>
      <c r="DC25" s="5"/>
      <c r="DD25" s="52">
        <f t="shared" si="17"/>
        <v>0</v>
      </c>
      <c r="DE25" s="58">
        <f t="shared" ref="DE25" si="241">SUM(DD27:DD33)</f>
        <v>0</v>
      </c>
      <c r="DF25" s="59">
        <f t="shared" ref="DF25" si="242">IF(DE25&gt;$G$2,DE25-$G$2,0)+SUM(DG25:DG31)</f>
        <v>0</v>
      </c>
      <c r="DH25" s="14">
        <f t="shared" ref="DH25" si="243">IFERROR(_xlfn.ISOWEEKNUM(DI25),"")</f>
        <v>46</v>
      </c>
      <c r="DI25" s="6">
        <f t="shared" ref="DI25:DJ25" si="244">DI24+1</f>
        <v>44149</v>
      </c>
      <c r="DJ25" s="7">
        <f t="shared" si="244"/>
        <v>44149</v>
      </c>
      <c r="DK25" s="4"/>
      <c r="DL25" s="3"/>
      <c r="DM25" s="5">
        <f t="shared" si="20"/>
        <v>0</v>
      </c>
      <c r="DN25" s="5"/>
      <c r="DO25" s="52">
        <f t="shared" si="21"/>
        <v>0</v>
      </c>
      <c r="DP25" s="58">
        <f t="shared" ref="DP25" si="245">SUM(DO27:DO33)</f>
        <v>0</v>
      </c>
      <c r="DQ25" s="59">
        <f t="shared" ref="DQ25" si="246">IF(DP25&gt;$G$2,DP25-$G$2,0)+SUM(DR25:DR31)</f>
        <v>0</v>
      </c>
      <c r="DS25" s="14">
        <f t="shared" ref="DS25" si="247">IFERROR(_xlfn.ISOWEEKNUM(DT25),"")</f>
        <v>51</v>
      </c>
      <c r="DT25" s="6">
        <f t="shared" ref="DT25:DU25" si="248">DT24+1</f>
        <v>44179</v>
      </c>
      <c r="DU25" s="7">
        <f t="shared" si="248"/>
        <v>44179</v>
      </c>
      <c r="DV25" s="4"/>
      <c r="DW25" s="3"/>
      <c r="DX25" s="5">
        <f t="shared" si="24"/>
        <v>0</v>
      </c>
      <c r="DY25" s="5"/>
      <c r="DZ25" s="52">
        <f t="shared" si="25"/>
        <v>0</v>
      </c>
      <c r="EA25" s="58">
        <f t="shared" ref="EA25" si="249">SUM(DZ27:DZ33)</f>
        <v>0</v>
      </c>
      <c r="EB25" s="59" t="e">
        <f>IF(EA25&gt;$G$2,EA25-$G$2,0)+SUM(#REF!)</f>
        <v>#REF!</v>
      </c>
    </row>
    <row r="26" spans="1:132" x14ac:dyDescent="0.3">
      <c r="A26" s="24"/>
      <c r="B26" s="14">
        <f t="shared" si="27"/>
        <v>3</v>
      </c>
      <c r="C26" s="67">
        <f t="shared" si="55"/>
        <v>43845</v>
      </c>
      <c r="D26" s="62">
        <f>DATE($E$3,1,15)</f>
        <v>43845</v>
      </c>
      <c r="E26" s="4">
        <v>0.375</v>
      </c>
      <c r="F26" s="3">
        <v>0.75</v>
      </c>
      <c r="G26" s="5">
        <v>0.375</v>
      </c>
      <c r="H26" s="5">
        <v>4.1666666666666664E-2</v>
      </c>
      <c r="I26" s="52">
        <f t="shared" si="28"/>
        <v>0.33333333333333331</v>
      </c>
      <c r="J26" s="77">
        <f t="shared" si="29"/>
        <v>0</v>
      </c>
      <c r="K26" s="59"/>
      <c r="M26" s="14">
        <f t="shared" si="30"/>
        <v>7</v>
      </c>
      <c r="N26" s="64">
        <f t="shared" si="56"/>
        <v>43876</v>
      </c>
      <c r="O26" s="62">
        <f>DATE($E$3,2,15)</f>
        <v>43876</v>
      </c>
      <c r="P26" s="4">
        <v>0.375</v>
      </c>
      <c r="Q26" s="3">
        <v>0.75</v>
      </c>
      <c r="R26" s="5">
        <v>0.375</v>
      </c>
      <c r="S26" s="5">
        <v>4.1666666666666664E-2</v>
      </c>
      <c r="T26" s="52">
        <f t="shared" si="57"/>
        <v>0.33333333333333331</v>
      </c>
      <c r="U26" s="79">
        <f>IF(WEEKDAY(N26,2)=7,SUMPRODUCT((_xlfn.ISOWEEKNUM(fevrier)=_xlfn.ISOWEEKNUM(N26))*(reelFevrier)),0)</f>
        <v>0</v>
      </c>
      <c r="V26" s="59"/>
      <c r="X26" s="14">
        <f t="shared" si="31"/>
        <v>11</v>
      </c>
      <c r="Y26" s="64">
        <f t="shared" si="58"/>
        <v>43905</v>
      </c>
      <c r="Z26" s="69">
        <f t="shared" si="59"/>
        <v>43905</v>
      </c>
      <c r="AA26" s="4"/>
      <c r="AB26" s="3"/>
      <c r="AC26" s="5">
        <f t="shared" si="140"/>
        <v>0</v>
      </c>
      <c r="AD26" s="5"/>
      <c r="AE26" s="52">
        <f t="shared" si="60"/>
        <v>0</v>
      </c>
      <c r="AF26" s="79">
        <f t="shared" si="154"/>
        <v>1.9999999999999998</v>
      </c>
      <c r="AG26" s="59"/>
      <c r="AI26" s="14">
        <f t="shared" si="33"/>
        <v>16</v>
      </c>
      <c r="AJ26" s="6">
        <f t="shared" si="61"/>
        <v>43936</v>
      </c>
      <c r="AK26" s="7">
        <f t="shared" si="61"/>
        <v>43936</v>
      </c>
      <c r="AL26" s="4"/>
      <c r="AM26" s="3"/>
      <c r="AN26" s="5">
        <f t="shared" si="34"/>
        <v>0</v>
      </c>
      <c r="AO26" s="5"/>
      <c r="AP26" s="52">
        <f t="shared" si="62"/>
        <v>0</v>
      </c>
      <c r="AQ26" s="58"/>
      <c r="AR26" s="59"/>
      <c r="AT26" s="14">
        <f t="shared" si="35"/>
        <v>20</v>
      </c>
      <c r="AU26" s="6">
        <f t="shared" ref="AU26:AV26" si="250">AU25+1</f>
        <v>43966</v>
      </c>
      <c r="AV26" s="7">
        <f t="shared" si="250"/>
        <v>43966</v>
      </c>
      <c r="AW26" s="4"/>
      <c r="AX26" s="3"/>
      <c r="AY26" s="5">
        <f t="shared" si="36"/>
        <v>0</v>
      </c>
      <c r="AZ26" s="5"/>
      <c r="BA26" s="52">
        <f t="shared" si="64"/>
        <v>0</v>
      </c>
      <c r="BB26" s="58"/>
      <c r="BC26" s="59"/>
      <c r="BE26" s="14">
        <f t="shared" si="37"/>
        <v>25</v>
      </c>
      <c r="BF26" s="6">
        <f t="shared" ref="BF26:BG26" si="251">BF25+1</f>
        <v>43997</v>
      </c>
      <c r="BG26" s="7">
        <f t="shared" si="251"/>
        <v>43997</v>
      </c>
      <c r="BH26" s="4"/>
      <c r="BI26" s="3"/>
      <c r="BJ26" s="5">
        <f t="shared" si="0"/>
        <v>0</v>
      </c>
      <c r="BK26" s="5"/>
      <c r="BL26" s="52">
        <f t="shared" si="1"/>
        <v>0</v>
      </c>
      <c r="BM26" s="58"/>
      <c r="BN26" s="59"/>
      <c r="BP26" s="14">
        <f t="shared" si="3"/>
        <v>29</v>
      </c>
      <c r="BQ26" s="6">
        <f t="shared" ref="BQ26:BR26" si="252">BQ25+1</f>
        <v>44027</v>
      </c>
      <c r="BR26" s="7">
        <f t="shared" si="252"/>
        <v>44027</v>
      </c>
      <c r="BS26" s="4"/>
      <c r="BT26" s="3"/>
      <c r="BU26" s="5">
        <f t="shared" si="4"/>
        <v>0</v>
      </c>
      <c r="BV26" s="5"/>
      <c r="BW26" s="52">
        <f t="shared" si="5"/>
        <v>0</v>
      </c>
      <c r="BX26" s="58"/>
      <c r="BY26" s="59"/>
      <c r="CA26" s="14">
        <f t="shared" ref="CA26" si="253">IFERROR(_xlfn.ISOWEEKNUM(CB26),"")</f>
        <v>33</v>
      </c>
      <c r="CB26" s="6">
        <f t="shared" ref="CB26:CC26" si="254">CB25+1</f>
        <v>44058</v>
      </c>
      <c r="CC26" s="7">
        <f t="shared" si="254"/>
        <v>44058</v>
      </c>
      <c r="CD26" s="4"/>
      <c r="CE26" s="3"/>
      <c r="CF26" s="5">
        <f t="shared" si="8"/>
        <v>0</v>
      </c>
      <c r="CG26" s="5"/>
      <c r="CH26" s="52">
        <f t="shared" si="9"/>
        <v>0</v>
      </c>
      <c r="CI26" s="58"/>
      <c r="CJ26" s="59"/>
      <c r="CL26" s="14">
        <f t="shared" ref="CL26" si="255">IFERROR(_xlfn.ISOWEEKNUM(CM26),"")</f>
        <v>38</v>
      </c>
      <c r="CM26" s="6">
        <f t="shared" ref="CM26:CN26" si="256">CM25+1</f>
        <v>44089</v>
      </c>
      <c r="CN26" s="7">
        <f t="shared" si="256"/>
        <v>44089</v>
      </c>
      <c r="CO26" s="4"/>
      <c r="CP26" s="3"/>
      <c r="CQ26" s="5">
        <f t="shared" si="12"/>
        <v>0</v>
      </c>
      <c r="CR26" s="5"/>
      <c r="CS26" s="52">
        <f t="shared" si="13"/>
        <v>0</v>
      </c>
      <c r="CT26" s="58"/>
      <c r="CU26" s="59"/>
      <c r="CW26" s="14">
        <f t="shared" ref="CW26" si="257">IFERROR(_xlfn.ISOWEEKNUM(CX26),"")</f>
        <v>42</v>
      </c>
      <c r="CX26" s="6">
        <f t="shared" ref="CX26:CY26" si="258">CX25+1</f>
        <v>44119</v>
      </c>
      <c r="CY26" s="7">
        <f t="shared" si="258"/>
        <v>44119</v>
      </c>
      <c r="CZ26" s="4"/>
      <c r="DA26" s="3"/>
      <c r="DB26" s="5">
        <f t="shared" si="16"/>
        <v>0</v>
      </c>
      <c r="DC26" s="5"/>
      <c r="DD26" s="52">
        <f t="shared" si="17"/>
        <v>0</v>
      </c>
      <c r="DE26" s="58"/>
      <c r="DF26" s="59"/>
      <c r="DH26" s="14">
        <f t="shared" ref="DH26" si="259">IFERROR(_xlfn.ISOWEEKNUM(DI26),"")</f>
        <v>46</v>
      </c>
      <c r="DI26" s="6">
        <f t="shared" ref="DI26:DJ26" si="260">DI25+1</f>
        <v>44150</v>
      </c>
      <c r="DJ26" s="7">
        <f t="shared" si="260"/>
        <v>44150</v>
      </c>
      <c r="DK26" s="4"/>
      <c r="DL26" s="3"/>
      <c r="DM26" s="5">
        <f t="shared" si="20"/>
        <v>0</v>
      </c>
      <c r="DN26" s="5"/>
      <c r="DO26" s="52">
        <f t="shared" si="21"/>
        <v>0</v>
      </c>
      <c r="DP26" s="58"/>
      <c r="DQ26" s="59"/>
      <c r="DS26" s="14">
        <f t="shared" ref="DS26" si="261">IFERROR(_xlfn.ISOWEEKNUM(DT26),"")</f>
        <v>51</v>
      </c>
      <c r="DT26" s="6">
        <f t="shared" ref="DT26:DU26" si="262">DT25+1</f>
        <v>44180</v>
      </c>
      <c r="DU26" s="7">
        <f t="shared" si="262"/>
        <v>44180</v>
      </c>
      <c r="DV26" s="4"/>
      <c r="DW26" s="3"/>
      <c r="DX26" s="5">
        <f t="shared" si="24"/>
        <v>0</v>
      </c>
      <c r="DY26" s="5"/>
      <c r="DZ26" s="52">
        <f t="shared" si="25"/>
        <v>0</v>
      </c>
      <c r="EA26" s="58"/>
      <c r="EB26" s="59"/>
    </row>
    <row r="27" spans="1:132" x14ac:dyDescent="0.3">
      <c r="A27" s="24"/>
      <c r="B27" s="14">
        <f t="shared" si="27"/>
        <v>3</v>
      </c>
      <c r="C27" s="67">
        <f t="shared" si="55"/>
        <v>43846</v>
      </c>
      <c r="D27" s="62">
        <f>DATE($E$3,1,16)</f>
        <v>43846</v>
      </c>
      <c r="E27" s="4">
        <v>0.375</v>
      </c>
      <c r="F27" s="3">
        <v>0.75</v>
      </c>
      <c r="G27" s="5">
        <v>0.375</v>
      </c>
      <c r="H27" s="5">
        <v>4.1666666666666664E-2</v>
      </c>
      <c r="I27" s="52">
        <f t="shared" si="28"/>
        <v>0.33333333333333331</v>
      </c>
      <c r="J27" s="77">
        <f t="shared" si="29"/>
        <v>0</v>
      </c>
      <c r="K27" s="59"/>
      <c r="M27" s="14">
        <f t="shared" si="30"/>
        <v>7</v>
      </c>
      <c r="N27" s="64">
        <f t="shared" si="56"/>
        <v>43877</v>
      </c>
      <c r="O27" s="62">
        <f>DATE($E$3,2,16)</f>
        <v>43877</v>
      </c>
      <c r="P27" s="4">
        <v>0.375</v>
      </c>
      <c r="Q27" s="3">
        <v>0.75</v>
      </c>
      <c r="R27" s="5">
        <v>0.375</v>
      </c>
      <c r="S27" s="5">
        <v>4.1666666666666664E-2</v>
      </c>
      <c r="T27" s="52">
        <f t="shared" si="57"/>
        <v>0.33333333333333331</v>
      </c>
      <c r="U27" s="79">
        <f ca="1">IF(WEEKDAY(N27,2)=7,SUMPRODUCT((_xlfn.ISOWEEKNUM(fevrier)=_xlfn.ISOWEEKNUM(N27))*(reelFevrier)),0)</f>
        <v>1.9999999999999998</v>
      </c>
      <c r="V27" s="59"/>
      <c r="X27" s="14">
        <f t="shared" si="31"/>
        <v>12</v>
      </c>
      <c r="Y27" s="64">
        <f t="shared" si="58"/>
        <v>43906</v>
      </c>
      <c r="Z27" s="69">
        <f t="shared" si="59"/>
        <v>43906</v>
      </c>
      <c r="AA27" s="4">
        <v>0.375</v>
      </c>
      <c r="AB27" s="3">
        <v>0.75</v>
      </c>
      <c r="AC27" s="5">
        <v>0.375</v>
      </c>
      <c r="AD27" s="5">
        <v>4.1666666666666664E-2</v>
      </c>
      <c r="AE27" s="52">
        <f t="shared" si="60"/>
        <v>0.33333333333333331</v>
      </c>
      <c r="AF27" s="79">
        <f t="shared" si="154"/>
        <v>0</v>
      </c>
      <c r="AG27" s="59"/>
      <c r="AI27" s="14">
        <f t="shared" si="33"/>
        <v>16</v>
      </c>
      <c r="AJ27" s="6">
        <f t="shared" si="61"/>
        <v>43937</v>
      </c>
      <c r="AK27" s="7">
        <f t="shared" si="61"/>
        <v>43937</v>
      </c>
      <c r="AL27" s="4"/>
      <c r="AM27" s="3"/>
      <c r="AN27" s="5">
        <f t="shared" si="34"/>
        <v>0</v>
      </c>
      <c r="AO27" s="5"/>
      <c r="AP27" s="52">
        <f t="shared" si="62"/>
        <v>0</v>
      </c>
      <c r="AQ27" s="58"/>
      <c r="AR27" s="59"/>
      <c r="AT27" s="14">
        <f t="shared" si="35"/>
        <v>20</v>
      </c>
      <c r="AU27" s="6">
        <f t="shared" ref="AU27:AV27" si="263">AU26+1</f>
        <v>43967</v>
      </c>
      <c r="AV27" s="7">
        <f t="shared" si="263"/>
        <v>43967</v>
      </c>
      <c r="AW27" s="4"/>
      <c r="AX27" s="3"/>
      <c r="AY27" s="5">
        <f t="shared" si="36"/>
        <v>0</v>
      </c>
      <c r="AZ27" s="5"/>
      <c r="BA27" s="52">
        <f t="shared" si="64"/>
        <v>0</v>
      </c>
      <c r="BB27" s="58"/>
      <c r="BC27" s="59"/>
      <c r="BE27" s="14">
        <f t="shared" si="37"/>
        <v>25</v>
      </c>
      <c r="BF27" s="6">
        <f t="shared" ref="BF27:BG27" si="264">BF26+1</f>
        <v>43998</v>
      </c>
      <c r="BG27" s="7">
        <f t="shared" si="264"/>
        <v>43998</v>
      </c>
      <c r="BH27" s="4"/>
      <c r="BI27" s="3"/>
      <c r="BJ27" s="5">
        <f t="shared" si="0"/>
        <v>0</v>
      </c>
      <c r="BK27" s="5"/>
      <c r="BL27" s="52">
        <f t="shared" si="1"/>
        <v>0</v>
      </c>
      <c r="BM27" s="58"/>
      <c r="BN27" s="59"/>
      <c r="BP27" s="14">
        <f t="shared" si="3"/>
        <v>29</v>
      </c>
      <c r="BQ27" s="6">
        <f t="shared" ref="BQ27:BR27" si="265">BQ26+1</f>
        <v>44028</v>
      </c>
      <c r="BR27" s="7">
        <f t="shared" si="265"/>
        <v>44028</v>
      </c>
      <c r="BS27" s="4"/>
      <c r="BT27" s="3"/>
      <c r="BU27" s="5">
        <f t="shared" si="4"/>
        <v>0</v>
      </c>
      <c r="BV27" s="5"/>
      <c r="BW27" s="52">
        <f t="shared" si="5"/>
        <v>0</v>
      </c>
      <c r="BX27" s="58"/>
      <c r="BY27" s="59"/>
      <c r="CA27" s="14">
        <f t="shared" ref="CA27:CA42" si="266">IFERROR(_xlfn.ISOWEEKNUM(CB27),"")</f>
        <v>33</v>
      </c>
      <c r="CB27" s="6">
        <f t="shared" ref="CB27:CC27" si="267">CB26+1</f>
        <v>44059</v>
      </c>
      <c r="CC27" s="7">
        <f t="shared" si="267"/>
        <v>44059</v>
      </c>
      <c r="CD27" s="4"/>
      <c r="CE27" s="3"/>
      <c r="CF27" s="5">
        <f t="shared" si="8"/>
        <v>0</v>
      </c>
      <c r="CG27" s="5"/>
      <c r="CH27" s="52">
        <f t="shared" si="9"/>
        <v>0</v>
      </c>
      <c r="CI27" s="58"/>
      <c r="CJ27" s="59"/>
      <c r="CL27" s="14">
        <f t="shared" ref="CL27:CL41" si="268">IFERROR(_xlfn.ISOWEEKNUM(CM27),"")</f>
        <v>38</v>
      </c>
      <c r="CM27" s="6">
        <f t="shared" ref="CM27:CN27" si="269">CM26+1</f>
        <v>44090</v>
      </c>
      <c r="CN27" s="7">
        <f t="shared" si="269"/>
        <v>44090</v>
      </c>
      <c r="CO27" s="4"/>
      <c r="CP27" s="3"/>
      <c r="CQ27" s="5">
        <f t="shared" si="12"/>
        <v>0</v>
      </c>
      <c r="CR27" s="5"/>
      <c r="CS27" s="52">
        <f t="shared" si="13"/>
        <v>0</v>
      </c>
      <c r="CT27" s="58"/>
      <c r="CU27" s="59"/>
      <c r="CW27" s="14">
        <f t="shared" ref="CW27:CW42" si="270">IFERROR(_xlfn.ISOWEEKNUM(CX27),"")</f>
        <v>42</v>
      </c>
      <c r="CX27" s="6">
        <f t="shared" ref="CX27:CY27" si="271">CX26+1</f>
        <v>44120</v>
      </c>
      <c r="CY27" s="7">
        <f t="shared" si="271"/>
        <v>44120</v>
      </c>
      <c r="CZ27" s="4"/>
      <c r="DA27" s="3"/>
      <c r="DB27" s="5">
        <f t="shared" si="16"/>
        <v>0</v>
      </c>
      <c r="DC27" s="5"/>
      <c r="DD27" s="52">
        <f t="shared" si="17"/>
        <v>0</v>
      </c>
      <c r="DE27" s="58"/>
      <c r="DF27" s="59"/>
      <c r="DH27" s="14">
        <f t="shared" ref="DH27:DH41" si="272">IFERROR(_xlfn.ISOWEEKNUM(DI27),"")</f>
        <v>47</v>
      </c>
      <c r="DI27" s="6">
        <f t="shared" ref="DI27:DJ27" si="273">DI26+1</f>
        <v>44151</v>
      </c>
      <c r="DJ27" s="7">
        <f t="shared" si="273"/>
        <v>44151</v>
      </c>
      <c r="DK27" s="4"/>
      <c r="DL27" s="3"/>
      <c r="DM27" s="5">
        <f t="shared" si="20"/>
        <v>0</v>
      </c>
      <c r="DN27" s="5"/>
      <c r="DO27" s="52">
        <f t="shared" si="21"/>
        <v>0</v>
      </c>
      <c r="DP27" s="58"/>
      <c r="DQ27" s="59"/>
      <c r="DS27" s="14">
        <f t="shared" ref="DS27:DS42" si="274">IFERROR(_xlfn.ISOWEEKNUM(DT27),"")</f>
        <v>51</v>
      </c>
      <c r="DT27" s="6">
        <f t="shared" ref="DT27:DU27" si="275">DT26+1</f>
        <v>44181</v>
      </c>
      <c r="DU27" s="7">
        <f t="shared" si="275"/>
        <v>44181</v>
      </c>
      <c r="DV27" s="4"/>
      <c r="DW27" s="3"/>
      <c r="DX27" s="5">
        <f t="shared" si="24"/>
        <v>0</v>
      </c>
      <c r="DY27" s="5"/>
      <c r="DZ27" s="52">
        <f t="shared" si="25"/>
        <v>0</v>
      </c>
      <c r="EA27" s="58"/>
      <c r="EB27" s="59"/>
    </row>
    <row r="28" spans="1:132" x14ac:dyDescent="0.3">
      <c r="A28" s="24"/>
      <c r="B28" s="14">
        <f t="shared" si="27"/>
        <v>3</v>
      </c>
      <c r="C28" s="67">
        <f t="shared" si="55"/>
        <v>43847</v>
      </c>
      <c r="D28" s="62">
        <f>DATE($E$3,1,17)</f>
        <v>43847</v>
      </c>
      <c r="E28" s="4"/>
      <c r="F28" s="3"/>
      <c r="G28" s="5"/>
      <c r="H28" s="5"/>
      <c r="I28" s="52">
        <f t="shared" si="28"/>
        <v>0</v>
      </c>
      <c r="J28" s="77">
        <f t="shared" si="29"/>
        <v>0</v>
      </c>
      <c r="K28" s="59"/>
      <c r="M28" s="14">
        <f t="shared" si="30"/>
        <v>8</v>
      </c>
      <c r="N28" s="64">
        <f t="shared" si="56"/>
        <v>43878</v>
      </c>
      <c r="O28" s="62">
        <f>DATE($E$3,2,17)</f>
        <v>43878</v>
      </c>
      <c r="P28" s="4">
        <v>0.375</v>
      </c>
      <c r="Q28" s="3">
        <v>0.75</v>
      </c>
      <c r="R28" s="5">
        <v>0.375</v>
      </c>
      <c r="S28" s="5">
        <v>4.1666666666666664E-2</v>
      </c>
      <c r="T28" s="52">
        <f t="shared" si="57"/>
        <v>0.33333333333333331</v>
      </c>
      <c r="U28" s="79">
        <f>IF(WEEKDAY(N28,2)=7,SUMPRODUCT((_xlfn.ISOWEEKNUM(fevrier)=_xlfn.ISOWEEKNUM(N28))*(reelFevrier)),0)</f>
        <v>0</v>
      </c>
      <c r="V28" s="59"/>
      <c r="X28" s="14">
        <f t="shared" si="31"/>
        <v>12</v>
      </c>
      <c r="Y28" s="64">
        <f t="shared" si="58"/>
        <v>43907</v>
      </c>
      <c r="Z28" s="69">
        <f t="shared" si="59"/>
        <v>43907</v>
      </c>
      <c r="AA28" s="4">
        <v>0.375</v>
      </c>
      <c r="AB28" s="3">
        <v>0.75</v>
      </c>
      <c r="AC28" s="5">
        <v>0.375</v>
      </c>
      <c r="AD28" s="5">
        <v>4.1666666666666664E-2</v>
      </c>
      <c r="AE28" s="52">
        <f t="shared" si="60"/>
        <v>0.33333333333333331</v>
      </c>
      <c r="AF28" s="79">
        <f t="shared" si="154"/>
        <v>0</v>
      </c>
      <c r="AG28" s="59"/>
      <c r="AI28" s="14">
        <f t="shared" si="33"/>
        <v>16</v>
      </c>
      <c r="AJ28" s="6">
        <f t="shared" si="61"/>
        <v>43938</v>
      </c>
      <c r="AK28" s="7">
        <f t="shared" si="61"/>
        <v>43938</v>
      </c>
      <c r="AL28" s="4"/>
      <c r="AM28" s="3"/>
      <c r="AN28" s="5">
        <f t="shared" si="34"/>
        <v>0</v>
      </c>
      <c r="AO28" s="5"/>
      <c r="AP28" s="52">
        <f t="shared" si="62"/>
        <v>0</v>
      </c>
      <c r="AQ28" s="58"/>
      <c r="AR28" s="59"/>
      <c r="AT28" s="14">
        <f t="shared" si="35"/>
        <v>20</v>
      </c>
      <c r="AU28" s="6">
        <f t="shared" ref="AU28:AV28" si="276">AU27+1</f>
        <v>43968</v>
      </c>
      <c r="AV28" s="7">
        <f t="shared" si="276"/>
        <v>43968</v>
      </c>
      <c r="AW28" s="4"/>
      <c r="AX28" s="3"/>
      <c r="AY28" s="5">
        <f t="shared" si="36"/>
        <v>0</v>
      </c>
      <c r="AZ28" s="5"/>
      <c r="BA28" s="52">
        <f t="shared" si="64"/>
        <v>0</v>
      </c>
      <c r="BB28" s="58"/>
      <c r="BC28" s="59"/>
      <c r="BE28" s="14">
        <f t="shared" ref="BE28:BE41" si="277">IFERROR(_xlfn.ISOWEEKNUM(BF28),"")</f>
        <v>25</v>
      </c>
      <c r="BF28" s="6">
        <f t="shared" ref="BF28:BG28" si="278">BF27+1</f>
        <v>43999</v>
      </c>
      <c r="BG28" s="7">
        <f t="shared" si="278"/>
        <v>43999</v>
      </c>
      <c r="BH28" s="4"/>
      <c r="BI28" s="3"/>
      <c r="BJ28" s="5">
        <f t="shared" si="0"/>
        <v>0</v>
      </c>
      <c r="BK28" s="5"/>
      <c r="BL28" s="52">
        <f t="shared" si="1"/>
        <v>0</v>
      </c>
      <c r="BM28" s="58"/>
      <c r="BN28" s="59"/>
      <c r="BP28" s="14">
        <f t="shared" ref="BP28:BP42" si="279">IFERROR(_xlfn.ISOWEEKNUM(BQ28),"")</f>
        <v>29</v>
      </c>
      <c r="BQ28" s="6">
        <f t="shared" ref="BQ28:BR28" si="280">BQ27+1</f>
        <v>44029</v>
      </c>
      <c r="BR28" s="7">
        <f t="shared" si="280"/>
        <v>44029</v>
      </c>
      <c r="BS28" s="4"/>
      <c r="BT28" s="3"/>
      <c r="BU28" s="5">
        <f t="shared" si="4"/>
        <v>0</v>
      </c>
      <c r="BV28" s="5"/>
      <c r="BW28" s="52">
        <f t="shared" si="5"/>
        <v>0</v>
      </c>
      <c r="BX28" s="58"/>
      <c r="BY28" s="59"/>
      <c r="CA28" s="14">
        <f t="shared" si="266"/>
        <v>34</v>
      </c>
      <c r="CB28" s="6">
        <f t="shared" ref="CB28:CC28" si="281">CB27+1</f>
        <v>44060</v>
      </c>
      <c r="CC28" s="7">
        <f t="shared" si="281"/>
        <v>44060</v>
      </c>
      <c r="CD28" s="4"/>
      <c r="CE28" s="3"/>
      <c r="CF28" s="5">
        <f t="shared" si="8"/>
        <v>0</v>
      </c>
      <c r="CG28" s="5"/>
      <c r="CH28" s="52">
        <f t="shared" si="9"/>
        <v>0</v>
      </c>
      <c r="CI28" s="58"/>
      <c r="CJ28" s="59"/>
      <c r="CL28" s="14">
        <f t="shared" si="268"/>
        <v>38</v>
      </c>
      <c r="CM28" s="6">
        <f t="shared" ref="CM28:CN28" si="282">CM27+1</f>
        <v>44091</v>
      </c>
      <c r="CN28" s="7">
        <f t="shared" si="282"/>
        <v>44091</v>
      </c>
      <c r="CO28" s="4"/>
      <c r="CP28" s="3"/>
      <c r="CQ28" s="5">
        <f t="shared" si="12"/>
        <v>0</v>
      </c>
      <c r="CR28" s="5"/>
      <c r="CS28" s="52">
        <f t="shared" si="13"/>
        <v>0</v>
      </c>
      <c r="CT28" s="58"/>
      <c r="CU28" s="59"/>
      <c r="CW28" s="14">
        <f t="shared" si="270"/>
        <v>42</v>
      </c>
      <c r="CX28" s="6">
        <f t="shared" ref="CX28:CY28" si="283">CX27+1</f>
        <v>44121</v>
      </c>
      <c r="CY28" s="7">
        <f t="shared" si="283"/>
        <v>44121</v>
      </c>
      <c r="CZ28" s="4"/>
      <c r="DA28" s="3"/>
      <c r="DB28" s="5">
        <f t="shared" si="16"/>
        <v>0</v>
      </c>
      <c r="DC28" s="5"/>
      <c r="DD28" s="52">
        <f t="shared" si="17"/>
        <v>0</v>
      </c>
      <c r="DE28" s="58"/>
      <c r="DF28" s="59"/>
      <c r="DH28" s="14">
        <f t="shared" si="272"/>
        <v>47</v>
      </c>
      <c r="DI28" s="6">
        <f t="shared" ref="DI28:DJ28" si="284">DI27+1</f>
        <v>44152</v>
      </c>
      <c r="DJ28" s="7">
        <f t="shared" si="284"/>
        <v>44152</v>
      </c>
      <c r="DK28" s="4"/>
      <c r="DL28" s="3"/>
      <c r="DM28" s="5">
        <f t="shared" si="20"/>
        <v>0</v>
      </c>
      <c r="DN28" s="5"/>
      <c r="DO28" s="52">
        <f t="shared" si="21"/>
        <v>0</v>
      </c>
      <c r="DP28" s="58"/>
      <c r="DQ28" s="59"/>
      <c r="DS28" s="14">
        <f t="shared" si="274"/>
        <v>51</v>
      </c>
      <c r="DT28" s="6">
        <f t="shared" ref="DT28:DU28" si="285">DT27+1</f>
        <v>44182</v>
      </c>
      <c r="DU28" s="7">
        <f t="shared" si="285"/>
        <v>44182</v>
      </c>
      <c r="DV28" s="4"/>
      <c r="DW28" s="3"/>
      <c r="DX28" s="5">
        <f t="shared" si="24"/>
        <v>0</v>
      </c>
      <c r="DY28" s="5"/>
      <c r="DZ28" s="52">
        <f t="shared" si="25"/>
        <v>0</v>
      </c>
      <c r="EA28" s="58"/>
      <c r="EB28" s="59"/>
    </row>
    <row r="29" spans="1:132" x14ac:dyDescent="0.3">
      <c r="A29" s="24"/>
      <c r="B29" s="14">
        <f t="shared" si="27"/>
        <v>3</v>
      </c>
      <c r="C29" s="67">
        <f t="shared" si="55"/>
        <v>43848</v>
      </c>
      <c r="D29" s="62">
        <f>DATE($E$3,1,18)</f>
        <v>43848</v>
      </c>
      <c r="E29" s="4">
        <v>0.375</v>
      </c>
      <c r="F29" s="3">
        <v>0.75</v>
      </c>
      <c r="G29" s="5">
        <v>0.375</v>
      </c>
      <c r="H29" s="5">
        <v>4.1666666666666664E-2</v>
      </c>
      <c r="I29" s="52">
        <f t="shared" si="28"/>
        <v>0.33333333333333331</v>
      </c>
      <c r="J29" s="77">
        <f t="shared" si="29"/>
        <v>0</v>
      </c>
      <c r="K29" s="59"/>
      <c r="M29" s="14">
        <f t="shared" si="30"/>
        <v>8</v>
      </c>
      <c r="N29" s="64">
        <f t="shared" si="56"/>
        <v>43879</v>
      </c>
      <c r="O29" s="62">
        <f>DATE($E$3,2,18)</f>
        <v>43879</v>
      </c>
      <c r="P29" s="4">
        <v>0.375</v>
      </c>
      <c r="Q29" s="3">
        <v>0.75</v>
      </c>
      <c r="R29" s="5">
        <v>0.375</v>
      </c>
      <c r="S29" s="5">
        <v>4.1666666666666664E-2</v>
      </c>
      <c r="T29" s="52">
        <f t="shared" si="57"/>
        <v>0.33333333333333331</v>
      </c>
      <c r="U29" s="79">
        <f>IF(WEEKDAY(N29,2)=7,SUMPRODUCT((_xlfn.ISOWEEKNUM(fevrier)=_xlfn.ISOWEEKNUM(N29))*(reelFevrier)),0)</f>
        <v>0</v>
      </c>
      <c r="V29" s="59"/>
      <c r="X29" s="14">
        <f t="shared" si="31"/>
        <v>12</v>
      </c>
      <c r="Y29" s="64">
        <f t="shared" si="58"/>
        <v>43908</v>
      </c>
      <c r="Z29" s="69">
        <f t="shared" si="59"/>
        <v>43908</v>
      </c>
      <c r="AA29" s="4">
        <v>0.375</v>
      </c>
      <c r="AB29" s="3">
        <v>0.75</v>
      </c>
      <c r="AC29" s="5">
        <v>0.375</v>
      </c>
      <c r="AD29" s="5">
        <v>4.1666666666666664E-2</v>
      </c>
      <c r="AE29" s="52">
        <f t="shared" si="60"/>
        <v>0.33333333333333331</v>
      </c>
      <c r="AF29" s="79">
        <f t="shared" si="154"/>
        <v>0</v>
      </c>
      <c r="AG29" s="59"/>
      <c r="AI29" s="14">
        <f t="shared" si="33"/>
        <v>16</v>
      </c>
      <c r="AJ29" s="6">
        <f t="shared" si="61"/>
        <v>43939</v>
      </c>
      <c r="AK29" s="7">
        <f t="shared" si="61"/>
        <v>43939</v>
      </c>
      <c r="AL29" s="4"/>
      <c r="AM29" s="3"/>
      <c r="AN29" s="5">
        <f t="shared" si="34"/>
        <v>0</v>
      </c>
      <c r="AO29" s="5"/>
      <c r="AP29" s="52">
        <f t="shared" si="62"/>
        <v>0</v>
      </c>
      <c r="AQ29" s="58"/>
      <c r="AR29" s="59"/>
      <c r="AT29" s="14">
        <f t="shared" si="35"/>
        <v>21</v>
      </c>
      <c r="AU29" s="6">
        <f t="shared" ref="AU29:AV29" si="286">AU28+1</f>
        <v>43969</v>
      </c>
      <c r="AV29" s="7">
        <f t="shared" si="286"/>
        <v>43969</v>
      </c>
      <c r="AW29" s="4"/>
      <c r="AX29" s="3"/>
      <c r="AY29" s="5">
        <f t="shared" si="36"/>
        <v>0</v>
      </c>
      <c r="AZ29" s="5"/>
      <c r="BA29" s="52">
        <f t="shared" si="64"/>
        <v>0</v>
      </c>
      <c r="BB29" s="58"/>
      <c r="BC29" s="59"/>
      <c r="BE29" s="14">
        <f t="shared" si="277"/>
        <v>25</v>
      </c>
      <c r="BF29" s="6">
        <f t="shared" ref="BF29:BG29" si="287">BF28+1</f>
        <v>44000</v>
      </c>
      <c r="BG29" s="7">
        <f t="shared" si="287"/>
        <v>44000</v>
      </c>
      <c r="BH29" s="4"/>
      <c r="BI29" s="3"/>
      <c r="BJ29" s="5">
        <f t="shared" si="0"/>
        <v>0</v>
      </c>
      <c r="BK29" s="5"/>
      <c r="BL29" s="52">
        <f t="shared" si="1"/>
        <v>0</v>
      </c>
      <c r="BM29" s="58"/>
      <c r="BN29" s="59"/>
      <c r="BP29" s="14">
        <f t="shared" si="279"/>
        <v>29</v>
      </c>
      <c r="BQ29" s="6">
        <f t="shared" ref="BQ29:BR29" si="288">BQ28+1</f>
        <v>44030</v>
      </c>
      <c r="BR29" s="7">
        <f t="shared" si="288"/>
        <v>44030</v>
      </c>
      <c r="BS29" s="4"/>
      <c r="BT29" s="3"/>
      <c r="BU29" s="5">
        <f t="shared" si="4"/>
        <v>0</v>
      </c>
      <c r="BV29" s="5"/>
      <c r="BW29" s="52">
        <f t="shared" si="5"/>
        <v>0</v>
      </c>
      <c r="BX29" s="58"/>
      <c r="BY29" s="59"/>
      <c r="CA29" s="14">
        <f t="shared" si="266"/>
        <v>34</v>
      </c>
      <c r="CB29" s="6">
        <f t="shared" ref="CB29:CC29" si="289">CB28+1</f>
        <v>44061</v>
      </c>
      <c r="CC29" s="7">
        <f t="shared" si="289"/>
        <v>44061</v>
      </c>
      <c r="CD29" s="4"/>
      <c r="CE29" s="3"/>
      <c r="CF29" s="5">
        <f t="shared" si="8"/>
        <v>0</v>
      </c>
      <c r="CG29" s="5"/>
      <c r="CH29" s="52">
        <f t="shared" si="9"/>
        <v>0</v>
      </c>
      <c r="CI29" s="58"/>
      <c r="CJ29" s="59"/>
      <c r="CL29" s="14">
        <f t="shared" si="268"/>
        <v>38</v>
      </c>
      <c r="CM29" s="6">
        <f t="shared" ref="CM29:CN29" si="290">CM28+1</f>
        <v>44092</v>
      </c>
      <c r="CN29" s="7">
        <f t="shared" si="290"/>
        <v>44092</v>
      </c>
      <c r="CO29" s="4"/>
      <c r="CP29" s="3"/>
      <c r="CQ29" s="5">
        <f t="shared" si="12"/>
        <v>0</v>
      </c>
      <c r="CR29" s="5"/>
      <c r="CS29" s="52">
        <f t="shared" si="13"/>
        <v>0</v>
      </c>
      <c r="CT29" s="58"/>
      <c r="CU29" s="59"/>
      <c r="CW29" s="14">
        <f t="shared" si="270"/>
        <v>42</v>
      </c>
      <c r="CX29" s="6">
        <f t="shared" ref="CX29:CY29" si="291">CX28+1</f>
        <v>44122</v>
      </c>
      <c r="CY29" s="7">
        <f t="shared" si="291"/>
        <v>44122</v>
      </c>
      <c r="CZ29" s="4"/>
      <c r="DA29" s="3"/>
      <c r="DB29" s="5">
        <f t="shared" si="16"/>
        <v>0</v>
      </c>
      <c r="DC29" s="5"/>
      <c r="DD29" s="52">
        <f t="shared" si="17"/>
        <v>0</v>
      </c>
      <c r="DE29" s="58"/>
      <c r="DF29" s="59"/>
      <c r="DH29" s="14">
        <f t="shared" si="272"/>
        <v>47</v>
      </c>
      <c r="DI29" s="6">
        <f t="shared" ref="DI29:DJ29" si="292">DI28+1</f>
        <v>44153</v>
      </c>
      <c r="DJ29" s="7">
        <f t="shared" si="292"/>
        <v>44153</v>
      </c>
      <c r="DK29" s="4"/>
      <c r="DL29" s="3"/>
      <c r="DM29" s="5">
        <f t="shared" si="20"/>
        <v>0</v>
      </c>
      <c r="DN29" s="5"/>
      <c r="DO29" s="52">
        <f t="shared" si="21"/>
        <v>0</v>
      </c>
      <c r="DP29" s="58"/>
      <c r="DQ29" s="59"/>
      <c r="DS29" s="14">
        <f t="shared" si="274"/>
        <v>51</v>
      </c>
      <c r="DT29" s="6">
        <f t="shared" ref="DT29:DU29" si="293">DT28+1</f>
        <v>44183</v>
      </c>
      <c r="DU29" s="7">
        <f t="shared" si="293"/>
        <v>44183</v>
      </c>
      <c r="DV29" s="4"/>
      <c r="DW29" s="3"/>
      <c r="DX29" s="5">
        <f t="shared" si="24"/>
        <v>0</v>
      </c>
      <c r="DY29" s="5"/>
      <c r="DZ29" s="52">
        <f t="shared" si="25"/>
        <v>0</v>
      </c>
      <c r="EA29" s="58"/>
      <c r="EB29" s="59"/>
    </row>
    <row r="30" spans="1:132" x14ac:dyDescent="0.3">
      <c r="A30" s="24"/>
      <c r="B30" s="14">
        <f t="shared" si="27"/>
        <v>3</v>
      </c>
      <c r="C30" s="67">
        <f t="shared" si="55"/>
        <v>43849</v>
      </c>
      <c r="D30" s="62">
        <f>DATE($E$3,1,19)</f>
        <v>43849</v>
      </c>
      <c r="E30" s="32"/>
      <c r="F30" s="3"/>
      <c r="G30" s="5" t="str">
        <f t="shared" si="77"/>
        <v/>
      </c>
      <c r="H30" s="5"/>
      <c r="I30" s="52">
        <f t="shared" si="28"/>
        <v>0</v>
      </c>
      <c r="J30" s="77">
        <f t="shared" si="29"/>
        <v>1.6666666666666665</v>
      </c>
      <c r="K30" s="59"/>
      <c r="M30" s="14">
        <f t="shared" si="30"/>
        <v>8</v>
      </c>
      <c r="N30" s="64">
        <f t="shared" si="56"/>
        <v>43880</v>
      </c>
      <c r="O30" s="62">
        <f>DATE($E$3,2,19)</f>
        <v>43880</v>
      </c>
      <c r="P30" s="32">
        <v>0.375</v>
      </c>
      <c r="Q30" s="3">
        <v>0.75</v>
      </c>
      <c r="R30" s="5">
        <v>0.375</v>
      </c>
      <c r="S30" s="5">
        <v>4.1666666666666664E-2</v>
      </c>
      <c r="T30" s="52">
        <f t="shared" si="57"/>
        <v>0.33333333333333331</v>
      </c>
      <c r="U30" s="79">
        <f>IF(WEEKDAY(N30,2)=7,SUMPRODUCT((_xlfn.ISOWEEKNUM(fevrier)=_xlfn.ISOWEEKNUM(N30))*(reelFevrier)),0)</f>
        <v>0</v>
      </c>
      <c r="V30" s="59"/>
      <c r="X30" s="14">
        <f t="shared" si="31"/>
        <v>12</v>
      </c>
      <c r="Y30" s="64">
        <f t="shared" si="58"/>
        <v>43909</v>
      </c>
      <c r="Z30" s="69">
        <f t="shared" si="59"/>
        <v>43909</v>
      </c>
      <c r="AA30" s="32">
        <v>0.375</v>
      </c>
      <c r="AB30" s="3">
        <v>0.75</v>
      </c>
      <c r="AC30" s="5">
        <v>0.375</v>
      </c>
      <c r="AD30" s="5">
        <v>4.1666666666666664E-2</v>
      </c>
      <c r="AE30" s="52">
        <f t="shared" si="60"/>
        <v>0.33333333333333331</v>
      </c>
      <c r="AF30" s="79">
        <f t="shared" si="154"/>
        <v>0</v>
      </c>
      <c r="AG30" s="59"/>
      <c r="AI30" s="14">
        <f t="shared" si="33"/>
        <v>16</v>
      </c>
      <c r="AJ30" s="6">
        <f t="shared" ref="AJ30:AK41" si="294">AJ29+1</f>
        <v>43940</v>
      </c>
      <c r="AK30" s="7">
        <f t="shared" si="294"/>
        <v>43940</v>
      </c>
      <c r="AL30" s="32"/>
      <c r="AM30" s="3"/>
      <c r="AN30" s="5">
        <f t="shared" si="34"/>
        <v>0</v>
      </c>
      <c r="AO30" s="5"/>
      <c r="AP30" s="52">
        <f t="shared" si="62"/>
        <v>0</v>
      </c>
      <c r="AQ30" s="58"/>
      <c r="AR30" s="59"/>
      <c r="AT30" s="14">
        <f t="shared" si="35"/>
        <v>21</v>
      </c>
      <c r="AU30" s="6">
        <f t="shared" ref="AU30:AV30" si="295">AU29+1</f>
        <v>43970</v>
      </c>
      <c r="AV30" s="7">
        <f t="shared" si="295"/>
        <v>43970</v>
      </c>
      <c r="AW30" s="32"/>
      <c r="AX30" s="3"/>
      <c r="AY30" s="5">
        <f t="shared" si="36"/>
        <v>0</v>
      </c>
      <c r="AZ30" s="5"/>
      <c r="BA30" s="52">
        <f t="shared" si="64"/>
        <v>0</v>
      </c>
      <c r="BB30" s="58"/>
      <c r="BC30" s="59"/>
      <c r="BE30" s="14">
        <f t="shared" si="277"/>
        <v>25</v>
      </c>
      <c r="BF30" s="6">
        <f t="shared" ref="BF30:BG30" si="296">BF29+1</f>
        <v>44001</v>
      </c>
      <c r="BG30" s="7">
        <f t="shared" si="296"/>
        <v>44001</v>
      </c>
      <c r="BH30" s="32"/>
      <c r="BI30" s="3"/>
      <c r="BJ30" s="5">
        <f t="shared" si="0"/>
        <v>0</v>
      </c>
      <c r="BK30" s="5"/>
      <c r="BL30" s="52">
        <f t="shared" si="1"/>
        <v>0</v>
      </c>
      <c r="BM30" s="58"/>
      <c r="BN30" s="59"/>
      <c r="BP30" s="14">
        <f t="shared" si="279"/>
        <v>29</v>
      </c>
      <c r="BQ30" s="6">
        <f t="shared" ref="BQ30:BR30" si="297">BQ29+1</f>
        <v>44031</v>
      </c>
      <c r="BR30" s="7">
        <f t="shared" si="297"/>
        <v>44031</v>
      </c>
      <c r="BS30" s="32"/>
      <c r="BT30" s="3"/>
      <c r="BU30" s="5">
        <f t="shared" si="4"/>
        <v>0</v>
      </c>
      <c r="BV30" s="5"/>
      <c r="BW30" s="52">
        <f t="shared" si="5"/>
        <v>0</v>
      </c>
      <c r="BX30" s="58"/>
      <c r="BY30" s="59"/>
      <c r="CA30" s="14">
        <f t="shared" si="266"/>
        <v>34</v>
      </c>
      <c r="CB30" s="6">
        <f t="shared" ref="CB30:CC30" si="298">CB29+1</f>
        <v>44062</v>
      </c>
      <c r="CC30" s="7">
        <f t="shared" si="298"/>
        <v>44062</v>
      </c>
      <c r="CD30" s="32"/>
      <c r="CE30" s="3"/>
      <c r="CF30" s="5">
        <f t="shared" si="8"/>
        <v>0</v>
      </c>
      <c r="CG30" s="5"/>
      <c r="CH30" s="52">
        <f t="shared" si="9"/>
        <v>0</v>
      </c>
      <c r="CI30" s="58"/>
      <c r="CJ30" s="59"/>
      <c r="CL30" s="14">
        <f t="shared" si="268"/>
        <v>38</v>
      </c>
      <c r="CM30" s="6">
        <f t="shared" ref="CM30:CN30" si="299">CM29+1</f>
        <v>44093</v>
      </c>
      <c r="CN30" s="7">
        <f t="shared" si="299"/>
        <v>44093</v>
      </c>
      <c r="CO30" s="32"/>
      <c r="CP30" s="3"/>
      <c r="CQ30" s="5">
        <f t="shared" si="12"/>
        <v>0</v>
      </c>
      <c r="CR30" s="5"/>
      <c r="CS30" s="52">
        <f t="shared" si="13"/>
        <v>0</v>
      </c>
      <c r="CT30" s="58"/>
      <c r="CU30" s="59"/>
      <c r="CW30" s="14">
        <f t="shared" si="270"/>
        <v>43</v>
      </c>
      <c r="CX30" s="6">
        <f t="shared" ref="CX30:CY30" si="300">CX29+1</f>
        <v>44123</v>
      </c>
      <c r="CY30" s="7">
        <f t="shared" si="300"/>
        <v>44123</v>
      </c>
      <c r="CZ30" s="32"/>
      <c r="DA30" s="3"/>
      <c r="DB30" s="5">
        <f t="shared" si="16"/>
        <v>0</v>
      </c>
      <c r="DC30" s="5"/>
      <c r="DD30" s="52">
        <f t="shared" si="17"/>
        <v>0</v>
      </c>
      <c r="DE30" s="58"/>
      <c r="DF30" s="59"/>
      <c r="DH30" s="14">
        <f t="shared" si="272"/>
        <v>47</v>
      </c>
      <c r="DI30" s="6">
        <f t="shared" ref="DI30:DJ30" si="301">DI29+1</f>
        <v>44154</v>
      </c>
      <c r="DJ30" s="7">
        <f t="shared" si="301"/>
        <v>44154</v>
      </c>
      <c r="DK30" s="32"/>
      <c r="DL30" s="3"/>
      <c r="DM30" s="5">
        <f t="shared" si="20"/>
        <v>0</v>
      </c>
      <c r="DN30" s="5"/>
      <c r="DO30" s="52">
        <f t="shared" si="21"/>
        <v>0</v>
      </c>
      <c r="DP30" s="58"/>
      <c r="DQ30" s="59"/>
      <c r="DS30" s="14">
        <f t="shared" si="274"/>
        <v>51</v>
      </c>
      <c r="DT30" s="6">
        <f t="shared" ref="DT30:DU30" si="302">DT29+1</f>
        <v>44184</v>
      </c>
      <c r="DU30" s="7">
        <f t="shared" si="302"/>
        <v>44184</v>
      </c>
      <c r="DV30" s="32"/>
      <c r="DW30" s="3"/>
      <c r="DX30" s="5">
        <f t="shared" si="24"/>
        <v>0</v>
      </c>
      <c r="DY30" s="5"/>
      <c r="DZ30" s="52">
        <f t="shared" si="25"/>
        <v>0</v>
      </c>
      <c r="EA30" s="58"/>
      <c r="EB30" s="59"/>
    </row>
    <row r="31" spans="1:132" x14ac:dyDescent="0.3">
      <c r="A31" s="24"/>
      <c r="B31" s="14">
        <f t="shared" si="27"/>
        <v>4</v>
      </c>
      <c r="C31" s="67">
        <f t="shared" si="55"/>
        <v>43850</v>
      </c>
      <c r="D31" s="62">
        <f>DATE($E$3,1,20)</f>
        <v>43850</v>
      </c>
      <c r="E31" s="32">
        <v>0.375</v>
      </c>
      <c r="F31" s="3">
        <v>0.75</v>
      </c>
      <c r="G31" s="5">
        <f t="shared" si="77"/>
        <v>0.375</v>
      </c>
      <c r="H31" s="5">
        <v>4.1666666666666664E-2</v>
      </c>
      <c r="I31" s="52">
        <f t="shared" si="28"/>
        <v>0.33333333333333331</v>
      </c>
      <c r="J31" s="77">
        <f t="shared" si="29"/>
        <v>0</v>
      </c>
      <c r="K31" s="59"/>
      <c r="M31" s="14">
        <f t="shared" si="30"/>
        <v>8</v>
      </c>
      <c r="N31" s="64">
        <f t="shared" si="56"/>
        <v>43881</v>
      </c>
      <c r="O31" s="62">
        <f>DATE($E$3,2,20)</f>
        <v>43881</v>
      </c>
      <c r="P31" s="32">
        <v>0.375</v>
      </c>
      <c r="Q31" s="3">
        <v>0.75</v>
      </c>
      <c r="R31" s="5">
        <v>0.375</v>
      </c>
      <c r="S31" s="5">
        <v>4.1666666666666664E-2</v>
      </c>
      <c r="T31" s="52">
        <f t="shared" si="57"/>
        <v>0.33333333333333331</v>
      </c>
      <c r="U31" s="79">
        <f>IF(WEEKDAY(N31,2)=7,SUMPRODUCT((_xlfn.ISOWEEKNUM(fevrier)=_xlfn.ISOWEEKNUM(N31))*(reelFevrier)),0)</f>
        <v>0</v>
      </c>
      <c r="V31" s="59"/>
      <c r="X31" s="14">
        <f t="shared" si="31"/>
        <v>12</v>
      </c>
      <c r="Y31" s="64">
        <f t="shared" si="58"/>
        <v>43910</v>
      </c>
      <c r="Z31" s="69">
        <f t="shared" si="59"/>
        <v>43910</v>
      </c>
      <c r="AA31" s="32">
        <v>0.375</v>
      </c>
      <c r="AB31" s="3">
        <v>0.75</v>
      </c>
      <c r="AC31" s="5">
        <v>0.375</v>
      </c>
      <c r="AD31" s="5">
        <v>4.1666666666666664E-2</v>
      </c>
      <c r="AE31" s="52">
        <f t="shared" si="60"/>
        <v>0.33333333333333331</v>
      </c>
      <c r="AF31" s="79">
        <f t="shared" si="154"/>
        <v>0</v>
      </c>
      <c r="AG31" s="59"/>
      <c r="AI31" s="14">
        <f t="shared" si="33"/>
        <v>17</v>
      </c>
      <c r="AJ31" s="6">
        <f t="shared" si="294"/>
        <v>43941</v>
      </c>
      <c r="AK31" s="7">
        <f t="shared" si="294"/>
        <v>43941</v>
      </c>
      <c r="AL31" s="32"/>
      <c r="AM31" s="3"/>
      <c r="AN31" s="5">
        <f t="shared" si="34"/>
        <v>0</v>
      </c>
      <c r="AO31" s="5"/>
      <c r="AP31" s="52">
        <f t="shared" si="62"/>
        <v>0</v>
      </c>
      <c r="AQ31" s="58"/>
      <c r="AR31" s="59"/>
      <c r="AT31" s="14">
        <f t="shared" si="35"/>
        <v>21</v>
      </c>
      <c r="AU31" s="6">
        <f t="shared" ref="AU31:AV31" si="303">AU30+1</f>
        <v>43971</v>
      </c>
      <c r="AV31" s="7">
        <f t="shared" si="303"/>
        <v>43971</v>
      </c>
      <c r="AW31" s="32"/>
      <c r="AX31" s="3"/>
      <c r="AY31" s="5">
        <f t="shared" si="36"/>
        <v>0</v>
      </c>
      <c r="AZ31" s="5"/>
      <c r="BA31" s="52">
        <f t="shared" si="64"/>
        <v>0</v>
      </c>
      <c r="BB31" s="58"/>
      <c r="BC31" s="59"/>
      <c r="BE31" s="14">
        <f t="shared" si="277"/>
        <v>25</v>
      </c>
      <c r="BF31" s="6">
        <f t="shared" ref="BF31:BG31" si="304">BF30+1</f>
        <v>44002</v>
      </c>
      <c r="BG31" s="7">
        <f t="shared" si="304"/>
        <v>44002</v>
      </c>
      <c r="BH31" s="32" t="s">
        <v>23</v>
      </c>
      <c r="BI31" s="3"/>
      <c r="BJ31" s="5" t="str">
        <f t="shared" si="0"/>
        <v/>
      </c>
      <c r="BK31" s="5"/>
      <c r="BL31" s="52" t="str">
        <f t="shared" si="1"/>
        <v/>
      </c>
      <c r="BM31" s="58"/>
      <c r="BN31" s="59"/>
      <c r="BP31" s="14">
        <f t="shared" si="279"/>
        <v>30</v>
      </c>
      <c r="BQ31" s="6">
        <f t="shared" ref="BQ31:BR31" si="305">BQ30+1</f>
        <v>44032</v>
      </c>
      <c r="BR31" s="7">
        <f t="shared" si="305"/>
        <v>44032</v>
      </c>
      <c r="BS31" s="32"/>
      <c r="BT31" s="3"/>
      <c r="BU31" s="5">
        <f t="shared" si="4"/>
        <v>0</v>
      </c>
      <c r="BV31" s="5"/>
      <c r="BW31" s="52">
        <f t="shared" si="5"/>
        <v>0</v>
      </c>
      <c r="BX31" s="58"/>
      <c r="BY31" s="59"/>
      <c r="CA31" s="14">
        <f t="shared" si="266"/>
        <v>34</v>
      </c>
      <c r="CB31" s="6">
        <f t="shared" ref="CB31:CC31" si="306">CB30+1</f>
        <v>44063</v>
      </c>
      <c r="CC31" s="7">
        <f t="shared" si="306"/>
        <v>44063</v>
      </c>
      <c r="CD31" s="32"/>
      <c r="CE31" s="3"/>
      <c r="CF31" s="5">
        <f t="shared" si="8"/>
        <v>0</v>
      </c>
      <c r="CG31" s="5"/>
      <c r="CH31" s="52">
        <f t="shared" si="9"/>
        <v>0</v>
      </c>
      <c r="CI31" s="58"/>
      <c r="CJ31" s="59"/>
      <c r="CL31" s="14">
        <f t="shared" si="268"/>
        <v>38</v>
      </c>
      <c r="CM31" s="6">
        <f t="shared" ref="CM31:CN31" si="307">CM30+1</f>
        <v>44094</v>
      </c>
      <c r="CN31" s="7">
        <f t="shared" si="307"/>
        <v>44094</v>
      </c>
      <c r="CO31" s="32"/>
      <c r="CP31" s="3"/>
      <c r="CQ31" s="5">
        <f t="shared" si="12"/>
        <v>0</v>
      </c>
      <c r="CR31" s="5"/>
      <c r="CS31" s="52">
        <f t="shared" si="13"/>
        <v>0</v>
      </c>
      <c r="CT31" s="58"/>
      <c r="CU31" s="59"/>
      <c r="CW31" s="14">
        <f t="shared" si="270"/>
        <v>43</v>
      </c>
      <c r="CX31" s="6">
        <f t="shared" ref="CX31:CY31" si="308">CX30+1</f>
        <v>44124</v>
      </c>
      <c r="CY31" s="7">
        <f t="shared" si="308"/>
        <v>44124</v>
      </c>
      <c r="CZ31" s="32"/>
      <c r="DA31" s="3"/>
      <c r="DB31" s="5">
        <f t="shared" si="16"/>
        <v>0</v>
      </c>
      <c r="DC31" s="5"/>
      <c r="DD31" s="52">
        <f t="shared" si="17"/>
        <v>0</v>
      </c>
      <c r="DE31" s="58"/>
      <c r="DF31" s="59"/>
      <c r="DH31" s="14">
        <f t="shared" si="272"/>
        <v>47</v>
      </c>
      <c r="DI31" s="6">
        <f t="shared" ref="DI31:DJ31" si="309">DI30+1</f>
        <v>44155</v>
      </c>
      <c r="DJ31" s="7">
        <f t="shared" si="309"/>
        <v>44155</v>
      </c>
      <c r="DK31" s="32"/>
      <c r="DL31" s="3"/>
      <c r="DM31" s="5">
        <f t="shared" si="20"/>
        <v>0</v>
      </c>
      <c r="DN31" s="5"/>
      <c r="DO31" s="52">
        <f t="shared" si="21"/>
        <v>0</v>
      </c>
      <c r="DP31" s="58"/>
      <c r="DQ31" s="59"/>
      <c r="DS31" s="14">
        <f t="shared" si="274"/>
        <v>51</v>
      </c>
      <c r="DT31" s="6">
        <f t="shared" ref="DT31:DU31" si="310">DT30+1</f>
        <v>44185</v>
      </c>
      <c r="DU31" s="7">
        <f t="shared" si="310"/>
        <v>44185</v>
      </c>
      <c r="DV31" s="32"/>
      <c r="DW31" s="3"/>
      <c r="DX31" s="5">
        <f t="shared" si="24"/>
        <v>0</v>
      </c>
      <c r="DY31" s="5"/>
      <c r="DZ31" s="52">
        <f t="shared" si="25"/>
        <v>0</v>
      </c>
      <c r="EA31" s="58"/>
      <c r="EB31" s="59"/>
    </row>
    <row r="32" spans="1:132" x14ac:dyDescent="0.3">
      <c r="A32" s="24"/>
      <c r="B32" s="14">
        <f t="shared" si="27"/>
        <v>4</v>
      </c>
      <c r="C32" s="67">
        <f t="shared" si="55"/>
        <v>43851</v>
      </c>
      <c r="D32" s="62">
        <f>DATE($E$3,1,21)</f>
        <v>43851</v>
      </c>
      <c r="E32" s="32">
        <v>0.375</v>
      </c>
      <c r="F32" s="3">
        <v>0.75</v>
      </c>
      <c r="G32" s="5">
        <f t="shared" si="77"/>
        <v>0.375</v>
      </c>
      <c r="H32" s="5">
        <v>4.1666666666666664E-2</v>
      </c>
      <c r="I32" s="52">
        <f t="shared" si="28"/>
        <v>0.33333333333333331</v>
      </c>
      <c r="J32" s="77">
        <f t="shared" si="29"/>
        <v>0</v>
      </c>
      <c r="K32" s="59"/>
      <c r="M32" s="14">
        <f t="shared" si="30"/>
        <v>8</v>
      </c>
      <c r="N32" s="64">
        <f t="shared" si="56"/>
        <v>43882</v>
      </c>
      <c r="O32" s="62">
        <f>DATE($E$3,2,21)</f>
        <v>43882</v>
      </c>
      <c r="P32" s="32"/>
      <c r="Q32" s="3"/>
      <c r="R32" s="5"/>
      <c r="S32" s="5"/>
      <c r="T32" s="52">
        <f t="shared" si="57"/>
        <v>0</v>
      </c>
      <c r="U32" s="79">
        <f>IF(WEEKDAY(N32,2)=7,SUMPRODUCT((_xlfn.ISOWEEKNUM(fevrier)=_xlfn.ISOWEEKNUM(N32))*(reelFevrier)),0)</f>
        <v>0</v>
      </c>
      <c r="V32" s="59"/>
      <c r="X32" s="14">
        <f t="shared" si="31"/>
        <v>12</v>
      </c>
      <c r="Y32" s="64">
        <f t="shared" si="58"/>
        <v>43911</v>
      </c>
      <c r="Z32" s="69">
        <f t="shared" si="59"/>
        <v>43911</v>
      </c>
      <c r="AA32" s="32">
        <v>0.375</v>
      </c>
      <c r="AB32" s="3">
        <v>0.75</v>
      </c>
      <c r="AC32" s="5">
        <v>0.375</v>
      </c>
      <c r="AD32" s="5">
        <v>4.1666666666666664E-2</v>
      </c>
      <c r="AE32" s="52">
        <f t="shared" si="60"/>
        <v>0.33333333333333331</v>
      </c>
      <c r="AF32" s="79">
        <f t="shared" si="154"/>
        <v>0</v>
      </c>
      <c r="AG32" s="59"/>
      <c r="AI32" s="14">
        <f t="shared" si="33"/>
        <v>17</v>
      </c>
      <c r="AJ32" s="6">
        <f t="shared" si="294"/>
        <v>43942</v>
      </c>
      <c r="AK32" s="7">
        <f t="shared" si="294"/>
        <v>43942</v>
      </c>
      <c r="AL32" s="32"/>
      <c r="AM32" s="3"/>
      <c r="AN32" s="5">
        <f t="shared" si="34"/>
        <v>0</v>
      </c>
      <c r="AO32" s="5"/>
      <c r="AP32" s="52">
        <f t="shared" si="62"/>
        <v>0</v>
      </c>
      <c r="AQ32" s="58">
        <f t="shared" ref="AQ32" si="311">SUM(AP34:AP40)</f>
        <v>0</v>
      </c>
      <c r="AR32" s="59">
        <f t="shared" ref="AR32" si="312">IF(AQ32&gt;$G$2,AQ32-$G$2,0)+SUM(AS32:AS38)</f>
        <v>0</v>
      </c>
      <c r="AT32" s="14">
        <f t="shared" si="35"/>
        <v>21</v>
      </c>
      <c r="AU32" s="6">
        <f t="shared" ref="AU32:AV32" si="313">AU31+1</f>
        <v>43972</v>
      </c>
      <c r="AV32" s="7">
        <f t="shared" si="313"/>
        <v>43972</v>
      </c>
      <c r="AW32" s="32"/>
      <c r="AX32" s="3"/>
      <c r="AY32" s="5">
        <f t="shared" si="36"/>
        <v>0</v>
      </c>
      <c r="AZ32" s="5"/>
      <c r="BA32" s="52">
        <f t="shared" si="64"/>
        <v>0</v>
      </c>
      <c r="BB32" s="58">
        <f t="shared" ref="BB32" si="314">SUM(BA34:BA40)</f>
        <v>0</v>
      </c>
      <c r="BC32" s="59">
        <f t="shared" ref="BC32" si="315">IF(BB32&gt;$G$2,BB32-$G$2,0)+SUM(BD32:BD38)</f>
        <v>0</v>
      </c>
      <c r="BE32" s="14">
        <f t="shared" si="277"/>
        <v>25</v>
      </c>
      <c r="BF32" s="6">
        <f t="shared" ref="BF32:BG32" si="316">BF31+1</f>
        <v>44003</v>
      </c>
      <c r="BG32" s="7">
        <f t="shared" si="316"/>
        <v>44003</v>
      </c>
      <c r="BH32" s="32"/>
      <c r="BI32" s="3"/>
      <c r="BJ32" s="5">
        <f t="shared" si="0"/>
        <v>0</v>
      </c>
      <c r="BK32" s="5"/>
      <c r="BL32" s="52">
        <f t="shared" si="1"/>
        <v>0</v>
      </c>
      <c r="BM32" s="58">
        <f t="shared" ref="BM32" si="317">SUM(BL34:BL40)</f>
        <v>0</v>
      </c>
      <c r="BN32" s="59">
        <f t="shared" ref="BN32" si="318">IF(BM32&gt;$G$2,BM32-$G$2,0)+SUM(BO32:BO38)</f>
        <v>0</v>
      </c>
      <c r="BP32" s="14">
        <f t="shared" si="279"/>
        <v>30</v>
      </c>
      <c r="BQ32" s="6">
        <f t="shared" ref="BQ32:BR32" si="319">BQ31+1</f>
        <v>44033</v>
      </c>
      <c r="BR32" s="7">
        <f t="shared" si="319"/>
        <v>44033</v>
      </c>
      <c r="BS32" s="32"/>
      <c r="BT32" s="3"/>
      <c r="BU32" s="5">
        <f t="shared" si="4"/>
        <v>0</v>
      </c>
      <c r="BV32" s="5"/>
      <c r="BW32" s="52">
        <f t="shared" si="5"/>
        <v>0</v>
      </c>
      <c r="BX32" s="58">
        <f t="shared" ref="BX32" si="320">SUM(BW34:BW40)</f>
        <v>0</v>
      </c>
      <c r="BY32" s="59">
        <f t="shared" ref="BY32" si="321">IF(BX32&gt;$G$2,BX32-$G$2,0)+SUM(BZ32:BZ38)</f>
        <v>0</v>
      </c>
      <c r="CA32" s="14">
        <f t="shared" si="266"/>
        <v>34</v>
      </c>
      <c r="CB32" s="6">
        <f t="shared" ref="CB32:CC32" si="322">CB31+1</f>
        <v>44064</v>
      </c>
      <c r="CC32" s="7">
        <f t="shared" si="322"/>
        <v>44064</v>
      </c>
      <c r="CD32" s="32"/>
      <c r="CE32" s="3"/>
      <c r="CF32" s="5">
        <f t="shared" si="8"/>
        <v>0</v>
      </c>
      <c r="CG32" s="5"/>
      <c r="CH32" s="52">
        <f t="shared" si="9"/>
        <v>0</v>
      </c>
      <c r="CI32" s="58">
        <f t="shared" ref="CI32" si="323">SUM(CH34:CH40)</f>
        <v>0</v>
      </c>
      <c r="CJ32" s="59">
        <f t="shared" ref="CJ32" si="324">IF(CI32&gt;$G$2,CI32-$G$2,0)+SUM(CK32:CK38)</f>
        <v>0</v>
      </c>
      <c r="CL32" s="14">
        <f t="shared" si="268"/>
        <v>39</v>
      </c>
      <c r="CM32" s="6">
        <f t="shared" ref="CM32:CN32" si="325">CM31+1</f>
        <v>44095</v>
      </c>
      <c r="CN32" s="7">
        <f t="shared" si="325"/>
        <v>44095</v>
      </c>
      <c r="CO32" s="32"/>
      <c r="CP32" s="3"/>
      <c r="CQ32" s="5">
        <f t="shared" si="12"/>
        <v>0</v>
      </c>
      <c r="CR32" s="5"/>
      <c r="CS32" s="52">
        <f t="shared" si="13"/>
        <v>0</v>
      </c>
      <c r="CT32" s="58">
        <f t="shared" ref="CT32" si="326">SUM(CS34:CS40)</f>
        <v>0</v>
      </c>
      <c r="CU32" s="59">
        <f t="shared" ref="CU32" si="327">IF(CT32&gt;$G$2,CT32-$G$2,0)+SUM(CV32:CV38)</f>
        <v>0</v>
      </c>
      <c r="CW32" s="14">
        <f t="shared" si="270"/>
        <v>43</v>
      </c>
      <c r="CX32" s="6">
        <f t="shared" ref="CX32:CY32" si="328">CX31+1</f>
        <v>44125</v>
      </c>
      <c r="CY32" s="7">
        <f t="shared" si="328"/>
        <v>44125</v>
      </c>
      <c r="CZ32" s="32"/>
      <c r="DA32" s="3"/>
      <c r="DB32" s="5">
        <f t="shared" si="16"/>
        <v>0</v>
      </c>
      <c r="DC32" s="5"/>
      <c r="DD32" s="52">
        <f t="shared" si="17"/>
        <v>0</v>
      </c>
      <c r="DE32" s="58">
        <f t="shared" ref="DE32" si="329">SUM(DD34:DD40)</f>
        <v>0</v>
      </c>
      <c r="DF32" s="59">
        <f t="shared" ref="DF32" si="330">IF(DE32&gt;$G$2,DE32-$G$2,0)+SUM(DG32:DG38)</f>
        <v>0</v>
      </c>
      <c r="DH32" s="14">
        <f t="shared" si="272"/>
        <v>47</v>
      </c>
      <c r="DI32" s="6">
        <f t="shared" ref="DI32:DJ32" si="331">DI31+1</f>
        <v>44156</v>
      </c>
      <c r="DJ32" s="7">
        <f t="shared" si="331"/>
        <v>44156</v>
      </c>
      <c r="DK32" s="32"/>
      <c r="DL32" s="3"/>
      <c r="DM32" s="5">
        <f t="shared" si="20"/>
        <v>0</v>
      </c>
      <c r="DN32" s="5"/>
      <c r="DO32" s="52">
        <f t="shared" si="21"/>
        <v>0</v>
      </c>
      <c r="DP32" s="58">
        <f t="shared" ref="DP32" si="332">SUM(DO34:DO40)</f>
        <v>0</v>
      </c>
      <c r="DQ32" s="59">
        <f t="shared" ref="DQ32" si="333">IF(DP32&gt;$G$2,DP32-$G$2,0)+SUM(DR32:DR38)</f>
        <v>0</v>
      </c>
      <c r="DS32" s="14">
        <f t="shared" si="274"/>
        <v>52</v>
      </c>
      <c r="DT32" s="6">
        <f t="shared" ref="DT32:DU32" si="334">DT31+1</f>
        <v>44186</v>
      </c>
      <c r="DU32" s="7">
        <f t="shared" si="334"/>
        <v>44186</v>
      </c>
      <c r="DV32" s="32"/>
      <c r="DW32" s="3"/>
      <c r="DX32" s="5">
        <f t="shared" si="24"/>
        <v>0</v>
      </c>
      <c r="DY32" s="5"/>
      <c r="DZ32" s="52">
        <f t="shared" si="25"/>
        <v>0</v>
      </c>
      <c r="EA32" s="58">
        <f t="shared" ref="EA32" si="335">SUM(DZ34:DZ40)</f>
        <v>0</v>
      </c>
      <c r="EB32" s="59" t="e">
        <f>IF(EA32&gt;$G$2,EA32-$G$2,0)+SUM(#REF!)</f>
        <v>#REF!</v>
      </c>
    </row>
    <row r="33" spans="1:132" x14ac:dyDescent="0.3">
      <c r="A33" s="24"/>
      <c r="B33" s="14">
        <f t="shared" si="27"/>
        <v>4</v>
      </c>
      <c r="C33" s="67">
        <f t="shared" si="55"/>
        <v>43852</v>
      </c>
      <c r="D33" s="62">
        <f>DATE($E$3,1,22)</f>
        <v>43852</v>
      </c>
      <c r="E33" s="4">
        <v>0.375</v>
      </c>
      <c r="F33" s="3">
        <v>0.75</v>
      </c>
      <c r="G33" s="5">
        <f t="shared" si="77"/>
        <v>0.375</v>
      </c>
      <c r="H33" s="5">
        <v>4.1666666666666664E-2</v>
      </c>
      <c r="I33" s="52">
        <f t="shared" si="28"/>
        <v>0.33333333333333331</v>
      </c>
      <c r="J33" s="77">
        <f t="shared" si="29"/>
        <v>0</v>
      </c>
      <c r="K33" s="59"/>
      <c r="M33" s="14">
        <f t="shared" si="30"/>
        <v>8</v>
      </c>
      <c r="N33" s="64">
        <f t="shared" si="56"/>
        <v>43883</v>
      </c>
      <c r="O33" s="62">
        <f>DATE($E$3,2,22)</f>
        <v>43883</v>
      </c>
      <c r="P33" s="4">
        <v>0.375</v>
      </c>
      <c r="Q33" s="3">
        <v>0.75</v>
      </c>
      <c r="R33" s="5">
        <v>0.375</v>
      </c>
      <c r="S33" s="5">
        <v>4.1666666666666664E-2</v>
      </c>
      <c r="T33" s="52">
        <f t="shared" si="57"/>
        <v>0.33333333333333331</v>
      </c>
      <c r="U33" s="79">
        <f>IF(WEEKDAY(N33,2)=7,SUMPRODUCT((_xlfn.ISOWEEKNUM(fevrier)=_xlfn.ISOWEEKNUM(N33))*(reelFevrier)),0)</f>
        <v>0</v>
      </c>
      <c r="V33" s="59"/>
      <c r="X33" s="14">
        <f t="shared" si="31"/>
        <v>12</v>
      </c>
      <c r="Y33" s="64">
        <f t="shared" si="58"/>
        <v>43912</v>
      </c>
      <c r="Z33" s="69">
        <f t="shared" si="59"/>
        <v>43912</v>
      </c>
      <c r="AA33" s="4"/>
      <c r="AB33" s="3"/>
      <c r="AC33" s="5">
        <f t="shared" si="140"/>
        <v>0</v>
      </c>
      <c r="AD33" s="5"/>
      <c r="AE33" s="52">
        <f t="shared" si="60"/>
        <v>0</v>
      </c>
      <c r="AF33" s="79">
        <f t="shared" si="154"/>
        <v>1.9999999999999998</v>
      </c>
      <c r="AG33" s="59"/>
      <c r="AI33" s="14">
        <f t="shared" si="33"/>
        <v>17</v>
      </c>
      <c r="AJ33" s="6">
        <f t="shared" si="294"/>
        <v>43943</v>
      </c>
      <c r="AK33" s="7">
        <f t="shared" si="294"/>
        <v>43943</v>
      </c>
      <c r="AL33" s="4"/>
      <c r="AM33" s="3"/>
      <c r="AN33" s="5">
        <f t="shared" si="34"/>
        <v>0</v>
      </c>
      <c r="AO33" s="5"/>
      <c r="AP33" s="52">
        <f t="shared" si="62"/>
        <v>0</v>
      </c>
      <c r="AQ33" s="58"/>
      <c r="AR33" s="59"/>
      <c r="AT33" s="14">
        <f t="shared" si="35"/>
        <v>21</v>
      </c>
      <c r="AU33" s="6">
        <f t="shared" ref="AU33:AV33" si="336">AU32+1</f>
        <v>43973</v>
      </c>
      <c r="AV33" s="7">
        <f t="shared" si="336"/>
        <v>43973</v>
      </c>
      <c r="AW33" s="4"/>
      <c r="AX33" s="3"/>
      <c r="AY33" s="5">
        <f t="shared" si="36"/>
        <v>0</v>
      </c>
      <c r="AZ33" s="5"/>
      <c r="BA33" s="52">
        <f t="shared" si="64"/>
        <v>0</v>
      </c>
      <c r="BB33" s="58"/>
      <c r="BC33" s="59"/>
      <c r="BE33" s="14">
        <f t="shared" si="277"/>
        <v>26</v>
      </c>
      <c r="BF33" s="6">
        <f t="shared" ref="BF33:BG33" si="337">BF32+1</f>
        <v>44004</v>
      </c>
      <c r="BG33" s="7">
        <f t="shared" si="337"/>
        <v>44004</v>
      </c>
      <c r="BH33" s="4"/>
      <c r="BI33" s="3"/>
      <c r="BJ33" s="5">
        <f t="shared" si="0"/>
        <v>0</v>
      </c>
      <c r="BK33" s="5"/>
      <c r="BL33" s="52">
        <f t="shared" si="1"/>
        <v>0</v>
      </c>
      <c r="BM33" s="58"/>
      <c r="BN33" s="59"/>
      <c r="BP33" s="14">
        <f t="shared" si="279"/>
        <v>30</v>
      </c>
      <c r="BQ33" s="6">
        <f t="shared" ref="BQ33:BR33" si="338">BQ32+1</f>
        <v>44034</v>
      </c>
      <c r="BR33" s="7">
        <f t="shared" si="338"/>
        <v>44034</v>
      </c>
      <c r="BS33" s="4"/>
      <c r="BT33" s="3"/>
      <c r="BU33" s="5">
        <f t="shared" si="4"/>
        <v>0</v>
      </c>
      <c r="BV33" s="5"/>
      <c r="BW33" s="52">
        <f t="shared" si="5"/>
        <v>0</v>
      </c>
      <c r="BX33" s="58"/>
      <c r="BY33" s="59"/>
      <c r="CA33" s="14">
        <f t="shared" si="266"/>
        <v>34</v>
      </c>
      <c r="CB33" s="6">
        <f t="shared" ref="CB33:CC33" si="339">CB32+1</f>
        <v>44065</v>
      </c>
      <c r="CC33" s="7">
        <f t="shared" si="339"/>
        <v>44065</v>
      </c>
      <c r="CD33" s="4"/>
      <c r="CE33" s="3"/>
      <c r="CF33" s="5">
        <f t="shared" si="8"/>
        <v>0</v>
      </c>
      <c r="CG33" s="5"/>
      <c r="CH33" s="52">
        <f t="shared" si="9"/>
        <v>0</v>
      </c>
      <c r="CI33" s="58"/>
      <c r="CJ33" s="59"/>
      <c r="CL33" s="14">
        <f t="shared" si="268"/>
        <v>39</v>
      </c>
      <c r="CM33" s="6">
        <f t="shared" ref="CM33:CN33" si="340">CM32+1</f>
        <v>44096</v>
      </c>
      <c r="CN33" s="7">
        <f t="shared" si="340"/>
        <v>44096</v>
      </c>
      <c r="CO33" s="4"/>
      <c r="CP33" s="3"/>
      <c r="CQ33" s="5">
        <f t="shared" si="12"/>
        <v>0</v>
      </c>
      <c r="CR33" s="5"/>
      <c r="CS33" s="52">
        <f t="shared" si="13"/>
        <v>0</v>
      </c>
      <c r="CT33" s="58"/>
      <c r="CU33" s="59"/>
      <c r="CW33" s="14">
        <f t="shared" si="270"/>
        <v>43</v>
      </c>
      <c r="CX33" s="6">
        <f t="shared" ref="CX33:CY33" si="341">CX32+1</f>
        <v>44126</v>
      </c>
      <c r="CY33" s="7">
        <f t="shared" si="341"/>
        <v>44126</v>
      </c>
      <c r="CZ33" s="4"/>
      <c r="DA33" s="3"/>
      <c r="DB33" s="5">
        <f t="shared" si="16"/>
        <v>0</v>
      </c>
      <c r="DC33" s="5"/>
      <c r="DD33" s="52">
        <f t="shared" si="17"/>
        <v>0</v>
      </c>
      <c r="DE33" s="58"/>
      <c r="DF33" s="59"/>
      <c r="DH33" s="14">
        <f t="shared" si="272"/>
        <v>47</v>
      </c>
      <c r="DI33" s="6">
        <f t="shared" ref="DI33:DJ33" si="342">DI32+1</f>
        <v>44157</v>
      </c>
      <c r="DJ33" s="7">
        <f t="shared" si="342"/>
        <v>44157</v>
      </c>
      <c r="DK33" s="4"/>
      <c r="DL33" s="3"/>
      <c r="DM33" s="5">
        <f t="shared" si="20"/>
        <v>0</v>
      </c>
      <c r="DN33" s="5"/>
      <c r="DO33" s="52">
        <f t="shared" si="21"/>
        <v>0</v>
      </c>
      <c r="DP33" s="58"/>
      <c r="DQ33" s="59"/>
      <c r="DS33" s="14">
        <f t="shared" si="274"/>
        <v>52</v>
      </c>
      <c r="DT33" s="6">
        <f t="shared" ref="DT33:DU33" si="343">DT32+1</f>
        <v>44187</v>
      </c>
      <c r="DU33" s="7">
        <f t="shared" si="343"/>
        <v>44187</v>
      </c>
      <c r="DV33" s="4"/>
      <c r="DW33" s="3"/>
      <c r="DX33" s="5">
        <f t="shared" si="24"/>
        <v>0</v>
      </c>
      <c r="DY33" s="5"/>
      <c r="DZ33" s="52">
        <f t="shared" si="25"/>
        <v>0</v>
      </c>
      <c r="EA33" s="58"/>
      <c r="EB33" s="59"/>
    </row>
    <row r="34" spans="1:132" x14ac:dyDescent="0.3">
      <c r="A34" s="24"/>
      <c r="B34" s="14">
        <f t="shared" si="27"/>
        <v>4</v>
      </c>
      <c r="C34" s="67">
        <f t="shared" si="55"/>
        <v>43853</v>
      </c>
      <c r="D34" s="62">
        <f>DATE($E$3,1,23)</f>
        <v>43853</v>
      </c>
      <c r="E34" s="4">
        <v>0.375</v>
      </c>
      <c r="F34" s="3">
        <v>0.75</v>
      </c>
      <c r="G34" s="5">
        <f t="shared" si="77"/>
        <v>0.375</v>
      </c>
      <c r="H34" s="5">
        <v>4.1666666666666664E-2</v>
      </c>
      <c r="I34" s="52">
        <f t="shared" si="28"/>
        <v>0.33333333333333331</v>
      </c>
      <c r="J34" s="77">
        <f t="shared" si="29"/>
        <v>0</v>
      </c>
      <c r="K34" s="59"/>
      <c r="M34" s="14">
        <f t="shared" si="30"/>
        <v>8</v>
      </c>
      <c r="N34" s="64">
        <f t="shared" si="56"/>
        <v>43884</v>
      </c>
      <c r="O34" s="62">
        <f>DATE($E$3,2,23)</f>
        <v>43884</v>
      </c>
      <c r="P34" s="4">
        <v>0.375</v>
      </c>
      <c r="Q34" s="3">
        <v>0.75</v>
      </c>
      <c r="R34" s="5">
        <v>0.375</v>
      </c>
      <c r="S34" s="5">
        <v>4.1666666666666664E-2</v>
      </c>
      <c r="T34" s="52">
        <f t="shared" si="57"/>
        <v>0.33333333333333331</v>
      </c>
      <c r="U34" s="79">
        <f ca="1">IF(WEEKDAY(N34,2)=7,SUMPRODUCT((_xlfn.ISOWEEKNUM(fevrier)=_xlfn.ISOWEEKNUM(N34))*(reelFevrier)),0)</f>
        <v>1.9999999999999998</v>
      </c>
      <c r="V34" s="59"/>
      <c r="X34" s="14">
        <f t="shared" si="31"/>
        <v>13</v>
      </c>
      <c r="Y34" s="64">
        <f t="shared" si="58"/>
        <v>43913</v>
      </c>
      <c r="Z34" s="69">
        <f t="shared" si="59"/>
        <v>43913</v>
      </c>
      <c r="AA34" s="4">
        <v>0.375</v>
      </c>
      <c r="AB34" s="3">
        <v>0.75</v>
      </c>
      <c r="AC34" s="5">
        <v>0.375</v>
      </c>
      <c r="AD34" s="5">
        <v>4.1666666666666664E-2</v>
      </c>
      <c r="AE34" s="52">
        <f t="shared" si="60"/>
        <v>0.33333333333333331</v>
      </c>
      <c r="AF34" s="79">
        <f t="shared" si="154"/>
        <v>0</v>
      </c>
      <c r="AG34" s="59"/>
      <c r="AI34" s="14">
        <f t="shared" si="33"/>
        <v>17</v>
      </c>
      <c r="AJ34" s="6">
        <f t="shared" si="294"/>
        <v>43944</v>
      </c>
      <c r="AK34" s="7">
        <f t="shared" si="294"/>
        <v>43944</v>
      </c>
      <c r="AL34" s="4"/>
      <c r="AM34" s="3"/>
      <c r="AN34" s="5">
        <f t="shared" si="34"/>
        <v>0</v>
      </c>
      <c r="AO34" s="5"/>
      <c r="AP34" s="52">
        <f t="shared" si="62"/>
        <v>0</v>
      </c>
      <c r="AQ34" s="58"/>
      <c r="AR34" s="59"/>
      <c r="AT34" s="14">
        <f t="shared" si="35"/>
        <v>21</v>
      </c>
      <c r="AU34" s="6">
        <f t="shared" ref="AU34:AV34" si="344">AU33+1</f>
        <v>43974</v>
      </c>
      <c r="AV34" s="7">
        <f t="shared" si="344"/>
        <v>43974</v>
      </c>
      <c r="AW34" s="4"/>
      <c r="AX34" s="3"/>
      <c r="AY34" s="5">
        <f t="shared" si="36"/>
        <v>0</v>
      </c>
      <c r="AZ34" s="5"/>
      <c r="BA34" s="52">
        <f t="shared" si="64"/>
        <v>0</v>
      </c>
      <c r="BB34" s="58"/>
      <c r="BC34" s="59"/>
      <c r="BE34" s="14">
        <f t="shared" si="277"/>
        <v>26</v>
      </c>
      <c r="BF34" s="6">
        <f t="shared" ref="BF34:BG34" si="345">BF33+1</f>
        <v>44005</v>
      </c>
      <c r="BG34" s="7">
        <f t="shared" si="345"/>
        <v>44005</v>
      </c>
      <c r="BH34" s="4"/>
      <c r="BI34" s="3"/>
      <c r="BJ34" s="5">
        <f t="shared" si="0"/>
        <v>0</v>
      </c>
      <c r="BK34" s="5"/>
      <c r="BL34" s="52">
        <f t="shared" si="1"/>
        <v>0</v>
      </c>
      <c r="BM34" s="58"/>
      <c r="BN34" s="59"/>
      <c r="BP34" s="14">
        <f t="shared" si="279"/>
        <v>30</v>
      </c>
      <c r="BQ34" s="6">
        <f t="shared" ref="BQ34:BR34" si="346">BQ33+1</f>
        <v>44035</v>
      </c>
      <c r="BR34" s="7">
        <f t="shared" si="346"/>
        <v>44035</v>
      </c>
      <c r="BS34" s="4"/>
      <c r="BT34" s="3"/>
      <c r="BU34" s="5">
        <f t="shared" si="4"/>
        <v>0</v>
      </c>
      <c r="BV34" s="5"/>
      <c r="BW34" s="52">
        <f t="shared" si="5"/>
        <v>0</v>
      </c>
      <c r="BX34" s="58"/>
      <c r="BY34" s="59"/>
      <c r="CA34" s="14">
        <f t="shared" si="266"/>
        <v>34</v>
      </c>
      <c r="CB34" s="6">
        <f t="shared" ref="CB34:CC34" si="347">CB33+1</f>
        <v>44066</v>
      </c>
      <c r="CC34" s="7">
        <f t="shared" si="347"/>
        <v>44066</v>
      </c>
      <c r="CD34" s="4"/>
      <c r="CE34" s="3"/>
      <c r="CF34" s="5">
        <f t="shared" si="8"/>
        <v>0</v>
      </c>
      <c r="CG34" s="5"/>
      <c r="CH34" s="52">
        <f t="shared" si="9"/>
        <v>0</v>
      </c>
      <c r="CI34" s="58"/>
      <c r="CJ34" s="59"/>
      <c r="CL34" s="14">
        <f t="shared" si="268"/>
        <v>39</v>
      </c>
      <c r="CM34" s="6">
        <f t="shared" ref="CM34:CN34" si="348">CM33+1</f>
        <v>44097</v>
      </c>
      <c r="CN34" s="7">
        <f t="shared" si="348"/>
        <v>44097</v>
      </c>
      <c r="CO34" s="4"/>
      <c r="CP34" s="3"/>
      <c r="CQ34" s="5">
        <f t="shared" si="12"/>
        <v>0</v>
      </c>
      <c r="CR34" s="5"/>
      <c r="CS34" s="52">
        <f t="shared" si="13"/>
        <v>0</v>
      </c>
      <c r="CT34" s="58"/>
      <c r="CU34" s="59"/>
      <c r="CW34" s="14">
        <f t="shared" si="270"/>
        <v>43</v>
      </c>
      <c r="CX34" s="6">
        <f t="shared" ref="CX34:CY34" si="349">CX33+1</f>
        <v>44127</v>
      </c>
      <c r="CY34" s="7">
        <f t="shared" si="349"/>
        <v>44127</v>
      </c>
      <c r="CZ34" s="4"/>
      <c r="DA34" s="3"/>
      <c r="DB34" s="5">
        <f t="shared" si="16"/>
        <v>0</v>
      </c>
      <c r="DC34" s="5"/>
      <c r="DD34" s="52">
        <f t="shared" si="17"/>
        <v>0</v>
      </c>
      <c r="DE34" s="58"/>
      <c r="DF34" s="59"/>
      <c r="DH34" s="14">
        <f t="shared" si="272"/>
        <v>48</v>
      </c>
      <c r="DI34" s="6">
        <f t="shared" ref="DI34:DJ34" si="350">DI33+1</f>
        <v>44158</v>
      </c>
      <c r="DJ34" s="7">
        <f t="shared" si="350"/>
        <v>44158</v>
      </c>
      <c r="DK34" s="4"/>
      <c r="DL34" s="3"/>
      <c r="DM34" s="5">
        <f t="shared" si="20"/>
        <v>0</v>
      </c>
      <c r="DN34" s="5"/>
      <c r="DO34" s="52">
        <f t="shared" si="21"/>
        <v>0</v>
      </c>
      <c r="DP34" s="58"/>
      <c r="DQ34" s="59"/>
      <c r="DS34" s="14">
        <f t="shared" si="274"/>
        <v>52</v>
      </c>
      <c r="DT34" s="6">
        <f t="shared" ref="DT34:DU34" si="351">DT33+1</f>
        <v>44188</v>
      </c>
      <c r="DU34" s="7">
        <f t="shared" si="351"/>
        <v>44188</v>
      </c>
      <c r="DV34" s="4"/>
      <c r="DW34" s="3"/>
      <c r="DX34" s="5">
        <f t="shared" si="24"/>
        <v>0</v>
      </c>
      <c r="DY34" s="5"/>
      <c r="DZ34" s="52">
        <f t="shared" si="25"/>
        <v>0</v>
      </c>
      <c r="EA34" s="58"/>
      <c r="EB34" s="59"/>
    </row>
    <row r="35" spans="1:132" x14ac:dyDescent="0.3">
      <c r="A35" s="24"/>
      <c r="B35" s="14">
        <f t="shared" si="27"/>
        <v>4</v>
      </c>
      <c r="C35" s="67">
        <f t="shared" si="55"/>
        <v>43854</v>
      </c>
      <c r="D35" s="62">
        <f>DATE($E$3,1,24)</f>
        <v>43854</v>
      </c>
      <c r="E35" s="4"/>
      <c r="F35" s="3"/>
      <c r="G35" s="5"/>
      <c r="H35" s="5"/>
      <c r="I35" s="52">
        <f t="shared" si="28"/>
        <v>0</v>
      </c>
      <c r="J35" s="77">
        <f t="shared" si="29"/>
        <v>0</v>
      </c>
      <c r="K35" s="59"/>
      <c r="M35" s="14">
        <f t="shared" si="30"/>
        <v>9</v>
      </c>
      <c r="N35" s="64">
        <f t="shared" si="56"/>
        <v>43885</v>
      </c>
      <c r="O35" s="62">
        <f>DATE($E$3,2,24)</f>
        <v>43885</v>
      </c>
      <c r="P35" s="4">
        <v>0.375</v>
      </c>
      <c r="Q35" s="3">
        <v>0.75</v>
      </c>
      <c r="R35" s="5">
        <v>0.375</v>
      </c>
      <c r="S35" s="5">
        <v>4.1666666666666664E-2</v>
      </c>
      <c r="T35" s="52">
        <f t="shared" ref="T35:T40" si="352">IF(R35&lt;1,R35-S35,"")</f>
        <v>0.33333333333333331</v>
      </c>
      <c r="U35" s="79">
        <f>IF(WEEKDAY(N35,2)=7,SUMPRODUCT((_xlfn.ISOWEEKNUM(fevrier)=_xlfn.ISOWEEKNUM(N35))*(reelFevrier)),0)</f>
        <v>0</v>
      </c>
      <c r="V35" s="59"/>
      <c r="X35" s="14">
        <f t="shared" si="31"/>
        <v>13</v>
      </c>
      <c r="Y35" s="64">
        <f t="shared" si="58"/>
        <v>43914</v>
      </c>
      <c r="Z35" s="69">
        <f t="shared" si="59"/>
        <v>43914</v>
      </c>
      <c r="AA35" s="4">
        <v>0.375</v>
      </c>
      <c r="AB35" s="3">
        <v>0.75</v>
      </c>
      <c r="AC35" s="5">
        <v>0.375</v>
      </c>
      <c r="AD35" s="5">
        <v>4.1666666666666664E-2</v>
      </c>
      <c r="AE35" s="52">
        <f t="shared" si="60"/>
        <v>0.33333333333333331</v>
      </c>
      <c r="AF35" s="79">
        <f t="shared" si="154"/>
        <v>0</v>
      </c>
      <c r="AG35" s="59"/>
      <c r="AI35" s="14">
        <f t="shared" si="33"/>
        <v>17</v>
      </c>
      <c r="AJ35" s="6">
        <f t="shared" si="294"/>
        <v>43945</v>
      </c>
      <c r="AK35" s="7">
        <f t="shared" si="294"/>
        <v>43945</v>
      </c>
      <c r="AL35" s="4"/>
      <c r="AM35" s="3"/>
      <c r="AN35" s="5">
        <f t="shared" si="34"/>
        <v>0</v>
      </c>
      <c r="AO35" s="5"/>
      <c r="AP35" s="52">
        <f t="shared" si="62"/>
        <v>0</v>
      </c>
      <c r="AQ35" s="58"/>
      <c r="AR35" s="59"/>
      <c r="AT35" s="14">
        <f t="shared" si="35"/>
        <v>21</v>
      </c>
      <c r="AU35" s="6">
        <f t="shared" ref="AU35:AV35" si="353">AU34+1</f>
        <v>43975</v>
      </c>
      <c r="AV35" s="7">
        <f t="shared" si="353"/>
        <v>43975</v>
      </c>
      <c r="AW35" s="4"/>
      <c r="AX35" s="3"/>
      <c r="AY35" s="5">
        <f t="shared" si="36"/>
        <v>0</v>
      </c>
      <c r="AZ35" s="5"/>
      <c r="BA35" s="52">
        <f t="shared" si="64"/>
        <v>0</v>
      </c>
      <c r="BB35" s="58"/>
      <c r="BC35" s="59"/>
      <c r="BE35" s="14">
        <f t="shared" si="277"/>
        <v>26</v>
      </c>
      <c r="BF35" s="6">
        <f t="shared" ref="BF35:BG35" si="354">BF34+1</f>
        <v>44006</v>
      </c>
      <c r="BG35" s="7">
        <f t="shared" si="354"/>
        <v>44006</v>
      </c>
      <c r="BH35" s="4"/>
      <c r="BI35" s="3"/>
      <c r="BJ35" s="5">
        <f t="shared" si="0"/>
        <v>0</v>
      </c>
      <c r="BK35" s="5"/>
      <c r="BL35" s="52">
        <f t="shared" si="1"/>
        <v>0</v>
      </c>
      <c r="BM35" s="58"/>
      <c r="BN35" s="59"/>
      <c r="BP35" s="14">
        <f t="shared" si="279"/>
        <v>30</v>
      </c>
      <c r="BQ35" s="6">
        <f t="shared" ref="BQ35:BR35" si="355">BQ34+1</f>
        <v>44036</v>
      </c>
      <c r="BR35" s="7">
        <f t="shared" si="355"/>
        <v>44036</v>
      </c>
      <c r="BS35" s="4"/>
      <c r="BT35" s="3"/>
      <c r="BU35" s="5">
        <f t="shared" si="4"/>
        <v>0</v>
      </c>
      <c r="BV35" s="5"/>
      <c r="BW35" s="52">
        <f t="shared" si="5"/>
        <v>0</v>
      </c>
      <c r="BX35" s="58"/>
      <c r="BY35" s="59"/>
      <c r="CA35" s="14">
        <f t="shared" si="266"/>
        <v>35</v>
      </c>
      <c r="CB35" s="6">
        <f t="shared" ref="CB35:CC35" si="356">CB34+1</f>
        <v>44067</v>
      </c>
      <c r="CC35" s="7">
        <f t="shared" si="356"/>
        <v>44067</v>
      </c>
      <c r="CD35" s="4"/>
      <c r="CE35" s="3"/>
      <c r="CF35" s="5">
        <f t="shared" si="8"/>
        <v>0</v>
      </c>
      <c r="CG35" s="5"/>
      <c r="CH35" s="52">
        <f t="shared" si="9"/>
        <v>0</v>
      </c>
      <c r="CI35" s="58"/>
      <c r="CJ35" s="59"/>
      <c r="CL35" s="14">
        <f t="shared" si="268"/>
        <v>39</v>
      </c>
      <c r="CM35" s="6">
        <f t="shared" ref="CM35:CN35" si="357">CM34+1</f>
        <v>44098</v>
      </c>
      <c r="CN35" s="7">
        <f t="shared" si="357"/>
        <v>44098</v>
      </c>
      <c r="CO35" s="4"/>
      <c r="CP35" s="3"/>
      <c r="CQ35" s="5">
        <f t="shared" si="12"/>
        <v>0</v>
      </c>
      <c r="CR35" s="5"/>
      <c r="CS35" s="52">
        <f t="shared" si="13"/>
        <v>0</v>
      </c>
      <c r="CT35" s="58"/>
      <c r="CU35" s="59"/>
      <c r="CW35" s="14">
        <f t="shared" si="270"/>
        <v>43</v>
      </c>
      <c r="CX35" s="6">
        <f t="shared" ref="CX35:CY35" si="358">CX34+1</f>
        <v>44128</v>
      </c>
      <c r="CY35" s="7">
        <f t="shared" si="358"/>
        <v>44128</v>
      </c>
      <c r="CZ35" s="4"/>
      <c r="DA35" s="3"/>
      <c r="DB35" s="5">
        <f t="shared" si="16"/>
        <v>0</v>
      </c>
      <c r="DC35" s="5"/>
      <c r="DD35" s="52">
        <f t="shared" si="17"/>
        <v>0</v>
      </c>
      <c r="DE35" s="58"/>
      <c r="DF35" s="59"/>
      <c r="DH35" s="14">
        <f t="shared" si="272"/>
        <v>48</v>
      </c>
      <c r="DI35" s="6">
        <f t="shared" ref="DI35:DJ35" si="359">DI34+1</f>
        <v>44159</v>
      </c>
      <c r="DJ35" s="7">
        <f t="shared" si="359"/>
        <v>44159</v>
      </c>
      <c r="DK35" s="4"/>
      <c r="DL35" s="3"/>
      <c r="DM35" s="5">
        <f t="shared" si="20"/>
        <v>0</v>
      </c>
      <c r="DN35" s="5"/>
      <c r="DO35" s="52">
        <f t="shared" si="21"/>
        <v>0</v>
      </c>
      <c r="DP35" s="58"/>
      <c r="DQ35" s="59"/>
      <c r="DS35" s="14">
        <f t="shared" si="274"/>
        <v>52</v>
      </c>
      <c r="DT35" s="6">
        <f t="shared" ref="DT35:DU35" si="360">DT34+1</f>
        <v>44189</v>
      </c>
      <c r="DU35" s="7">
        <f t="shared" si="360"/>
        <v>44189</v>
      </c>
      <c r="DV35" s="4"/>
      <c r="DW35" s="3"/>
      <c r="DX35" s="5">
        <f t="shared" si="24"/>
        <v>0</v>
      </c>
      <c r="DY35" s="5"/>
      <c r="DZ35" s="52">
        <f t="shared" si="25"/>
        <v>0</v>
      </c>
      <c r="EA35" s="58"/>
      <c r="EB35" s="59"/>
    </row>
    <row r="36" spans="1:132" x14ac:dyDescent="0.3">
      <c r="A36" s="24"/>
      <c r="B36" s="14">
        <f t="shared" si="27"/>
        <v>4</v>
      </c>
      <c r="C36" s="67">
        <f t="shared" si="55"/>
        <v>43855</v>
      </c>
      <c r="D36" s="62">
        <f>DATE($E$3,1,25)</f>
        <v>43855</v>
      </c>
      <c r="E36" s="4">
        <v>0.375</v>
      </c>
      <c r="F36" s="3">
        <v>0.75</v>
      </c>
      <c r="G36" s="5">
        <f t="shared" si="77"/>
        <v>0.375</v>
      </c>
      <c r="H36" s="5">
        <v>4.1666666666666664E-2</v>
      </c>
      <c r="I36" s="52">
        <f t="shared" si="28"/>
        <v>0.33333333333333331</v>
      </c>
      <c r="J36" s="77">
        <f t="shared" si="29"/>
        <v>0</v>
      </c>
      <c r="K36" s="59"/>
      <c r="M36" s="14">
        <f t="shared" si="30"/>
        <v>9</v>
      </c>
      <c r="N36" s="64">
        <f t="shared" si="56"/>
        <v>43886</v>
      </c>
      <c r="O36" s="62">
        <f>DATE($E$3,2,25)</f>
        <v>43886</v>
      </c>
      <c r="P36" s="4">
        <v>0.375</v>
      </c>
      <c r="Q36" s="3">
        <v>0.75</v>
      </c>
      <c r="R36" s="5">
        <v>0.375</v>
      </c>
      <c r="S36" s="5">
        <v>4.1666666666666664E-2</v>
      </c>
      <c r="T36" s="52">
        <f t="shared" si="352"/>
        <v>0.33333333333333331</v>
      </c>
      <c r="U36" s="79">
        <f>IF(WEEKDAY(N36,2)=7,SUMPRODUCT((_xlfn.ISOWEEKNUM(fevrier)=_xlfn.ISOWEEKNUM(N36))*(reelFevrier)),0)</f>
        <v>0</v>
      </c>
      <c r="V36" s="59"/>
      <c r="X36" s="14">
        <f t="shared" si="31"/>
        <v>13</v>
      </c>
      <c r="Y36" s="64">
        <f t="shared" si="58"/>
        <v>43915</v>
      </c>
      <c r="Z36" s="69">
        <f t="shared" si="59"/>
        <v>43915</v>
      </c>
      <c r="AA36" s="4">
        <v>0.375</v>
      </c>
      <c r="AB36" s="3">
        <v>0.75</v>
      </c>
      <c r="AC36" s="5">
        <v>0.375</v>
      </c>
      <c r="AD36" s="5">
        <v>4.1666666666666664E-2</v>
      </c>
      <c r="AE36" s="52">
        <f t="shared" si="60"/>
        <v>0.33333333333333331</v>
      </c>
      <c r="AF36" s="79">
        <f t="shared" si="154"/>
        <v>0</v>
      </c>
      <c r="AG36" s="59"/>
      <c r="AI36" s="14">
        <f t="shared" si="33"/>
        <v>17</v>
      </c>
      <c r="AJ36" s="6">
        <f t="shared" si="294"/>
        <v>43946</v>
      </c>
      <c r="AK36" s="7">
        <f t="shared" si="294"/>
        <v>43946</v>
      </c>
      <c r="AL36" s="4"/>
      <c r="AM36" s="3"/>
      <c r="AN36" s="5">
        <f t="shared" si="34"/>
        <v>0</v>
      </c>
      <c r="AO36" s="5"/>
      <c r="AP36" s="52">
        <f t="shared" si="62"/>
        <v>0</v>
      </c>
      <c r="AQ36" s="58"/>
      <c r="AR36" s="59"/>
      <c r="AT36" s="14">
        <f t="shared" si="35"/>
        <v>22</v>
      </c>
      <c r="AU36" s="6">
        <f t="shared" ref="AU36:AV36" si="361">AU35+1</f>
        <v>43976</v>
      </c>
      <c r="AV36" s="7">
        <f t="shared" si="361"/>
        <v>43976</v>
      </c>
      <c r="AW36" s="4"/>
      <c r="AX36" s="3"/>
      <c r="AY36" s="5">
        <f t="shared" si="36"/>
        <v>0</v>
      </c>
      <c r="AZ36" s="5"/>
      <c r="BA36" s="52">
        <f t="shared" si="64"/>
        <v>0</v>
      </c>
      <c r="BB36" s="58"/>
      <c r="BC36" s="59"/>
      <c r="BE36" s="14">
        <f t="shared" si="277"/>
        <v>26</v>
      </c>
      <c r="BF36" s="6">
        <f t="shared" ref="BF36:BG36" si="362">BF35+1</f>
        <v>44007</v>
      </c>
      <c r="BG36" s="7">
        <f t="shared" si="362"/>
        <v>44007</v>
      </c>
      <c r="BH36" s="4" t="s">
        <v>24</v>
      </c>
      <c r="BI36" s="3"/>
      <c r="BJ36" s="5" t="str">
        <f t="shared" si="0"/>
        <v/>
      </c>
      <c r="BK36" s="5"/>
      <c r="BL36" s="52" t="str">
        <f t="shared" si="1"/>
        <v/>
      </c>
      <c r="BM36" s="58"/>
      <c r="BN36" s="59"/>
      <c r="BP36" s="14">
        <f t="shared" si="279"/>
        <v>30</v>
      </c>
      <c r="BQ36" s="6">
        <f t="shared" ref="BQ36:BR36" si="363">BQ35+1</f>
        <v>44037</v>
      </c>
      <c r="BR36" s="7">
        <f t="shared" si="363"/>
        <v>44037</v>
      </c>
      <c r="BS36" s="4"/>
      <c r="BT36" s="3"/>
      <c r="BU36" s="5">
        <f t="shared" si="4"/>
        <v>0</v>
      </c>
      <c r="BV36" s="5"/>
      <c r="BW36" s="52">
        <f t="shared" si="5"/>
        <v>0</v>
      </c>
      <c r="BX36" s="58"/>
      <c r="BY36" s="59"/>
      <c r="CA36" s="14">
        <f t="shared" si="266"/>
        <v>35</v>
      </c>
      <c r="CB36" s="6">
        <f t="shared" ref="CB36:CC36" si="364">CB35+1</f>
        <v>44068</v>
      </c>
      <c r="CC36" s="7">
        <f t="shared" si="364"/>
        <v>44068</v>
      </c>
      <c r="CD36" s="4"/>
      <c r="CE36" s="3"/>
      <c r="CF36" s="5">
        <f t="shared" si="8"/>
        <v>0</v>
      </c>
      <c r="CG36" s="5"/>
      <c r="CH36" s="52">
        <f t="shared" si="9"/>
        <v>0</v>
      </c>
      <c r="CI36" s="58"/>
      <c r="CJ36" s="59"/>
      <c r="CL36" s="14">
        <f t="shared" si="268"/>
        <v>39</v>
      </c>
      <c r="CM36" s="6">
        <f t="shared" ref="CM36:CN36" si="365">CM35+1</f>
        <v>44099</v>
      </c>
      <c r="CN36" s="7">
        <f t="shared" si="365"/>
        <v>44099</v>
      </c>
      <c r="CO36" s="4"/>
      <c r="CP36" s="3"/>
      <c r="CQ36" s="5">
        <f t="shared" si="12"/>
        <v>0</v>
      </c>
      <c r="CR36" s="5"/>
      <c r="CS36" s="52">
        <f t="shared" si="13"/>
        <v>0</v>
      </c>
      <c r="CT36" s="58"/>
      <c r="CU36" s="59"/>
      <c r="CW36" s="14">
        <f t="shared" si="270"/>
        <v>43</v>
      </c>
      <c r="CX36" s="6">
        <f t="shared" ref="CX36:CY36" si="366">CX35+1</f>
        <v>44129</v>
      </c>
      <c r="CY36" s="7">
        <f t="shared" si="366"/>
        <v>44129</v>
      </c>
      <c r="CZ36" s="4"/>
      <c r="DA36" s="3"/>
      <c r="DB36" s="5">
        <f t="shared" si="16"/>
        <v>0</v>
      </c>
      <c r="DC36" s="5"/>
      <c r="DD36" s="52">
        <f t="shared" si="17"/>
        <v>0</v>
      </c>
      <c r="DE36" s="58"/>
      <c r="DF36" s="59"/>
      <c r="DH36" s="14">
        <f t="shared" si="272"/>
        <v>48</v>
      </c>
      <c r="DI36" s="6">
        <f t="shared" ref="DI36:DJ36" si="367">DI35+1</f>
        <v>44160</v>
      </c>
      <c r="DJ36" s="7">
        <f t="shared" si="367"/>
        <v>44160</v>
      </c>
      <c r="DK36" s="4"/>
      <c r="DL36" s="3"/>
      <c r="DM36" s="5">
        <f t="shared" si="20"/>
        <v>0</v>
      </c>
      <c r="DN36" s="5"/>
      <c r="DO36" s="52">
        <f t="shared" si="21"/>
        <v>0</v>
      </c>
      <c r="DP36" s="58"/>
      <c r="DQ36" s="59"/>
      <c r="DS36" s="14">
        <f t="shared" si="274"/>
        <v>52</v>
      </c>
      <c r="DT36" s="6">
        <f t="shared" ref="DT36:DU36" si="368">DT35+1</f>
        <v>44190</v>
      </c>
      <c r="DU36" s="7">
        <f t="shared" si="368"/>
        <v>44190</v>
      </c>
      <c r="DV36" s="4"/>
      <c r="DW36" s="3"/>
      <c r="DX36" s="5">
        <f t="shared" si="24"/>
        <v>0</v>
      </c>
      <c r="DY36" s="5"/>
      <c r="DZ36" s="52">
        <f t="shared" si="25"/>
        <v>0</v>
      </c>
      <c r="EA36" s="58"/>
      <c r="EB36" s="59"/>
    </row>
    <row r="37" spans="1:132" x14ac:dyDescent="0.3">
      <c r="A37" s="24"/>
      <c r="B37" s="14">
        <f t="shared" si="27"/>
        <v>4</v>
      </c>
      <c r="C37" s="67">
        <f t="shared" si="55"/>
        <v>43856</v>
      </c>
      <c r="D37" s="62">
        <f>DATE($E$3,1,26)</f>
        <v>43856</v>
      </c>
      <c r="E37" s="4"/>
      <c r="F37" s="3"/>
      <c r="G37" s="5" t="str">
        <f t="shared" si="77"/>
        <v/>
      </c>
      <c r="H37" s="5"/>
      <c r="I37" s="52">
        <f t="shared" si="28"/>
        <v>0</v>
      </c>
      <c r="J37" s="77">
        <f t="shared" si="29"/>
        <v>1.6666666666666665</v>
      </c>
      <c r="K37" s="59"/>
      <c r="M37" s="14">
        <f t="shared" si="30"/>
        <v>9</v>
      </c>
      <c r="N37" s="64">
        <f t="shared" si="56"/>
        <v>43887</v>
      </c>
      <c r="O37" s="62">
        <f>DATE($E$3,2,26)</f>
        <v>43887</v>
      </c>
      <c r="P37" s="4">
        <v>0.375</v>
      </c>
      <c r="Q37" s="3">
        <v>0.75</v>
      </c>
      <c r="R37" s="5">
        <v>0.375</v>
      </c>
      <c r="S37" s="5">
        <v>4.1666666666666664E-2</v>
      </c>
      <c r="T37" s="52">
        <f t="shared" si="352"/>
        <v>0.33333333333333331</v>
      </c>
      <c r="U37" s="79">
        <f>IF(WEEKDAY(N37,2)=7,SUMPRODUCT((_xlfn.ISOWEEKNUM(fevrier)=_xlfn.ISOWEEKNUM(N37))*(reelFevrier)),0)</f>
        <v>0</v>
      </c>
      <c r="V37" s="59"/>
      <c r="X37" s="14">
        <f t="shared" si="31"/>
        <v>13</v>
      </c>
      <c r="Y37" s="64">
        <f t="shared" si="58"/>
        <v>43916</v>
      </c>
      <c r="Z37" s="69">
        <f t="shared" si="59"/>
        <v>43916</v>
      </c>
      <c r="AA37" s="4">
        <v>0.375</v>
      </c>
      <c r="AB37" s="3">
        <v>0.75</v>
      </c>
      <c r="AC37" s="5">
        <v>0.375</v>
      </c>
      <c r="AD37" s="5">
        <v>4.1666666666666664E-2</v>
      </c>
      <c r="AE37" s="52">
        <f t="shared" si="60"/>
        <v>0.33333333333333331</v>
      </c>
      <c r="AF37" s="79">
        <f t="shared" si="154"/>
        <v>0</v>
      </c>
      <c r="AG37" s="59"/>
      <c r="AI37" s="14">
        <f t="shared" si="33"/>
        <v>17</v>
      </c>
      <c r="AJ37" s="6">
        <f t="shared" si="294"/>
        <v>43947</v>
      </c>
      <c r="AK37" s="7">
        <f t="shared" si="294"/>
        <v>43947</v>
      </c>
      <c r="AL37" s="4"/>
      <c r="AM37" s="3"/>
      <c r="AN37" s="5">
        <f t="shared" si="34"/>
        <v>0</v>
      </c>
      <c r="AO37" s="5"/>
      <c r="AP37" s="52">
        <f t="shared" si="62"/>
        <v>0</v>
      </c>
      <c r="AQ37" s="58"/>
      <c r="AR37" s="59"/>
      <c r="AT37" s="14">
        <f t="shared" si="35"/>
        <v>22</v>
      </c>
      <c r="AU37" s="6">
        <f t="shared" ref="AU37:AV37" si="369">AU36+1</f>
        <v>43977</v>
      </c>
      <c r="AV37" s="7">
        <f t="shared" si="369"/>
        <v>43977</v>
      </c>
      <c r="AW37" s="4"/>
      <c r="AX37" s="3"/>
      <c r="AY37" s="5">
        <f t="shared" si="36"/>
        <v>0</v>
      </c>
      <c r="AZ37" s="5"/>
      <c r="BA37" s="52">
        <f t="shared" si="64"/>
        <v>0</v>
      </c>
      <c r="BB37" s="58"/>
      <c r="BC37" s="59"/>
      <c r="BE37" s="14">
        <f t="shared" si="277"/>
        <v>26</v>
      </c>
      <c r="BF37" s="6">
        <f t="shared" ref="BF37:BG37" si="370">BF36+1</f>
        <v>44008</v>
      </c>
      <c r="BG37" s="7">
        <f t="shared" si="370"/>
        <v>44008</v>
      </c>
      <c r="BH37" s="4"/>
      <c r="BI37" s="3"/>
      <c r="BJ37" s="5">
        <f t="shared" si="0"/>
        <v>0</v>
      </c>
      <c r="BK37" s="5"/>
      <c r="BL37" s="52">
        <f t="shared" si="1"/>
        <v>0</v>
      </c>
      <c r="BM37" s="58"/>
      <c r="BN37" s="59"/>
      <c r="BP37" s="14">
        <f t="shared" si="279"/>
        <v>30</v>
      </c>
      <c r="BQ37" s="6">
        <f t="shared" ref="BQ37:BR37" si="371">BQ36+1</f>
        <v>44038</v>
      </c>
      <c r="BR37" s="7">
        <f t="shared" si="371"/>
        <v>44038</v>
      </c>
      <c r="BS37" s="4"/>
      <c r="BT37" s="3"/>
      <c r="BU37" s="5">
        <f t="shared" si="4"/>
        <v>0</v>
      </c>
      <c r="BV37" s="5"/>
      <c r="BW37" s="52">
        <f t="shared" si="5"/>
        <v>0</v>
      </c>
      <c r="BX37" s="58"/>
      <c r="BY37" s="59"/>
      <c r="CA37" s="14">
        <f t="shared" si="266"/>
        <v>35</v>
      </c>
      <c r="CB37" s="6">
        <f t="shared" ref="CB37:CC37" si="372">CB36+1</f>
        <v>44069</v>
      </c>
      <c r="CC37" s="7">
        <f t="shared" si="372"/>
        <v>44069</v>
      </c>
      <c r="CD37" s="4"/>
      <c r="CE37" s="3"/>
      <c r="CF37" s="5">
        <f t="shared" si="8"/>
        <v>0</v>
      </c>
      <c r="CG37" s="5"/>
      <c r="CH37" s="52">
        <f t="shared" si="9"/>
        <v>0</v>
      </c>
      <c r="CI37" s="58"/>
      <c r="CJ37" s="59"/>
      <c r="CL37" s="14">
        <f t="shared" si="268"/>
        <v>39</v>
      </c>
      <c r="CM37" s="6">
        <f t="shared" ref="CM37:CN37" si="373">CM36+1</f>
        <v>44100</v>
      </c>
      <c r="CN37" s="7">
        <f t="shared" si="373"/>
        <v>44100</v>
      </c>
      <c r="CO37" s="4"/>
      <c r="CP37" s="3"/>
      <c r="CQ37" s="5">
        <f t="shared" si="12"/>
        <v>0</v>
      </c>
      <c r="CR37" s="5"/>
      <c r="CS37" s="52">
        <f t="shared" si="13"/>
        <v>0</v>
      </c>
      <c r="CT37" s="58"/>
      <c r="CU37" s="59"/>
      <c r="CW37" s="14">
        <f t="shared" si="270"/>
        <v>44</v>
      </c>
      <c r="CX37" s="6">
        <f t="shared" ref="CX37:CY37" si="374">CX36+1</f>
        <v>44130</v>
      </c>
      <c r="CY37" s="7">
        <f t="shared" si="374"/>
        <v>44130</v>
      </c>
      <c r="CZ37" s="4"/>
      <c r="DA37" s="3"/>
      <c r="DB37" s="5">
        <f t="shared" si="16"/>
        <v>0</v>
      </c>
      <c r="DC37" s="5"/>
      <c r="DD37" s="52">
        <f t="shared" si="17"/>
        <v>0</v>
      </c>
      <c r="DE37" s="58"/>
      <c r="DF37" s="59"/>
      <c r="DH37" s="14">
        <f t="shared" si="272"/>
        <v>48</v>
      </c>
      <c r="DI37" s="6">
        <f t="shared" ref="DI37:DJ37" si="375">DI36+1</f>
        <v>44161</v>
      </c>
      <c r="DJ37" s="7">
        <f t="shared" si="375"/>
        <v>44161</v>
      </c>
      <c r="DK37" s="4"/>
      <c r="DL37" s="3"/>
      <c r="DM37" s="5">
        <f t="shared" si="20"/>
        <v>0</v>
      </c>
      <c r="DN37" s="5"/>
      <c r="DO37" s="52">
        <f t="shared" si="21"/>
        <v>0</v>
      </c>
      <c r="DP37" s="58"/>
      <c r="DQ37" s="59"/>
      <c r="DS37" s="14">
        <f t="shared" si="274"/>
        <v>52</v>
      </c>
      <c r="DT37" s="6">
        <f t="shared" ref="DT37:DU37" si="376">DT36+1</f>
        <v>44191</v>
      </c>
      <c r="DU37" s="7">
        <f t="shared" si="376"/>
        <v>44191</v>
      </c>
      <c r="DV37" s="4"/>
      <c r="DW37" s="3"/>
      <c r="DX37" s="5">
        <f t="shared" si="24"/>
        <v>0</v>
      </c>
      <c r="DY37" s="5"/>
      <c r="DZ37" s="52">
        <f t="shared" si="25"/>
        <v>0</v>
      </c>
      <c r="EA37" s="58"/>
      <c r="EB37" s="59"/>
    </row>
    <row r="38" spans="1:132" x14ac:dyDescent="0.3">
      <c r="A38" s="24"/>
      <c r="B38" s="14">
        <f t="shared" si="27"/>
        <v>5</v>
      </c>
      <c r="C38" s="67">
        <f t="shared" si="55"/>
        <v>43857</v>
      </c>
      <c r="D38" s="62">
        <f>DATE($E$3,1,27)</f>
        <v>43857</v>
      </c>
      <c r="E38" s="4">
        <v>0.375</v>
      </c>
      <c r="F38" s="3">
        <v>0.75</v>
      </c>
      <c r="G38" s="5">
        <f t="shared" si="77"/>
        <v>0.375</v>
      </c>
      <c r="H38" s="5">
        <v>4.1666666666666664E-2</v>
      </c>
      <c r="I38" s="52">
        <f t="shared" si="28"/>
        <v>0.33333333333333331</v>
      </c>
      <c r="J38" s="77">
        <f t="shared" si="29"/>
        <v>0</v>
      </c>
      <c r="K38" s="59"/>
      <c r="M38" s="14">
        <f t="shared" si="30"/>
        <v>9</v>
      </c>
      <c r="N38" s="64">
        <f t="shared" si="56"/>
        <v>43888</v>
      </c>
      <c r="O38" s="62">
        <f>DATE($E$3,2,27)</f>
        <v>43888</v>
      </c>
      <c r="P38" s="4">
        <v>0.375</v>
      </c>
      <c r="Q38" s="3">
        <v>0.75</v>
      </c>
      <c r="R38" s="5">
        <v>0.375</v>
      </c>
      <c r="S38" s="5">
        <v>4.1666666666666664E-2</v>
      </c>
      <c r="T38" s="52">
        <f t="shared" si="352"/>
        <v>0.33333333333333331</v>
      </c>
      <c r="U38" s="79">
        <f>IF(WEEKDAY(N38,2)=7,SUMPRODUCT((_xlfn.ISOWEEKNUM(fevrier)=_xlfn.ISOWEEKNUM(N38))*(reelFevrier)),0)</f>
        <v>0</v>
      </c>
      <c r="V38" s="59"/>
      <c r="X38" s="14">
        <f t="shared" si="31"/>
        <v>13</v>
      </c>
      <c r="Y38" s="64">
        <f t="shared" si="58"/>
        <v>43917</v>
      </c>
      <c r="Z38" s="69">
        <f t="shared" si="59"/>
        <v>43917</v>
      </c>
      <c r="AA38" s="4">
        <v>0.375</v>
      </c>
      <c r="AB38" s="3">
        <v>0.75</v>
      </c>
      <c r="AC38" s="5">
        <v>0.375</v>
      </c>
      <c r="AD38" s="5">
        <v>4.1666666666666664E-2</v>
      </c>
      <c r="AE38" s="52">
        <f t="shared" si="60"/>
        <v>0.33333333333333331</v>
      </c>
      <c r="AF38" s="79">
        <f t="shared" si="154"/>
        <v>0</v>
      </c>
      <c r="AG38" s="59"/>
      <c r="AI38" s="14">
        <f t="shared" si="33"/>
        <v>18</v>
      </c>
      <c r="AJ38" s="6">
        <f t="shared" si="294"/>
        <v>43948</v>
      </c>
      <c r="AK38" s="7">
        <f t="shared" si="294"/>
        <v>43948</v>
      </c>
      <c r="AL38" s="4"/>
      <c r="AM38" s="3"/>
      <c r="AN38" s="5">
        <f t="shared" si="34"/>
        <v>0</v>
      </c>
      <c r="AO38" s="5"/>
      <c r="AP38" s="52">
        <f t="shared" si="62"/>
        <v>0</v>
      </c>
      <c r="AQ38" s="58"/>
      <c r="AR38" s="59"/>
      <c r="AT38" s="14">
        <f t="shared" si="35"/>
        <v>22</v>
      </c>
      <c r="AU38" s="6">
        <f t="shared" ref="AU38:AV38" si="377">AU37+1</f>
        <v>43978</v>
      </c>
      <c r="AV38" s="7">
        <f t="shared" si="377"/>
        <v>43978</v>
      </c>
      <c r="AW38" s="4"/>
      <c r="AX38" s="3"/>
      <c r="AY38" s="5">
        <f t="shared" si="36"/>
        <v>0</v>
      </c>
      <c r="AZ38" s="5"/>
      <c r="BA38" s="52">
        <f t="shared" si="64"/>
        <v>0</v>
      </c>
      <c r="BB38" s="58"/>
      <c r="BC38" s="59"/>
      <c r="BE38" s="14">
        <f t="shared" si="277"/>
        <v>26</v>
      </c>
      <c r="BF38" s="6">
        <f t="shared" ref="BF38:BG38" si="378">BF37+1</f>
        <v>44009</v>
      </c>
      <c r="BG38" s="7">
        <f t="shared" si="378"/>
        <v>44009</v>
      </c>
      <c r="BH38" s="4" t="s">
        <v>23</v>
      </c>
      <c r="BI38" s="3"/>
      <c r="BJ38" s="5" t="str">
        <f t="shared" si="0"/>
        <v/>
      </c>
      <c r="BK38" s="5"/>
      <c r="BL38" s="52" t="str">
        <f t="shared" si="1"/>
        <v/>
      </c>
      <c r="BM38" s="58"/>
      <c r="BN38" s="59"/>
      <c r="BP38" s="14">
        <f t="shared" si="279"/>
        <v>31</v>
      </c>
      <c r="BQ38" s="6">
        <f t="shared" ref="BQ38:BR38" si="379">BQ37+1</f>
        <v>44039</v>
      </c>
      <c r="BR38" s="7">
        <f t="shared" si="379"/>
        <v>44039</v>
      </c>
      <c r="BS38" s="4"/>
      <c r="BT38" s="3"/>
      <c r="BU38" s="5">
        <f t="shared" si="4"/>
        <v>0</v>
      </c>
      <c r="BV38" s="5"/>
      <c r="BW38" s="52">
        <f t="shared" si="5"/>
        <v>0</v>
      </c>
      <c r="BX38" s="58"/>
      <c r="BY38" s="59"/>
      <c r="CA38" s="14">
        <f t="shared" si="266"/>
        <v>35</v>
      </c>
      <c r="CB38" s="6">
        <f t="shared" ref="CB38:CC38" si="380">CB37+1</f>
        <v>44070</v>
      </c>
      <c r="CC38" s="7">
        <f t="shared" si="380"/>
        <v>44070</v>
      </c>
      <c r="CD38" s="4"/>
      <c r="CE38" s="3"/>
      <c r="CF38" s="5">
        <f t="shared" si="8"/>
        <v>0</v>
      </c>
      <c r="CG38" s="5"/>
      <c r="CH38" s="52">
        <f t="shared" si="9"/>
        <v>0</v>
      </c>
      <c r="CI38" s="58"/>
      <c r="CJ38" s="59"/>
      <c r="CL38" s="14">
        <f t="shared" si="268"/>
        <v>39</v>
      </c>
      <c r="CM38" s="6">
        <f t="shared" ref="CM38:CN38" si="381">CM37+1</f>
        <v>44101</v>
      </c>
      <c r="CN38" s="7">
        <f t="shared" si="381"/>
        <v>44101</v>
      </c>
      <c r="CO38" s="4"/>
      <c r="CP38" s="3"/>
      <c r="CQ38" s="5">
        <f t="shared" si="12"/>
        <v>0</v>
      </c>
      <c r="CR38" s="5"/>
      <c r="CS38" s="52">
        <f t="shared" si="13"/>
        <v>0</v>
      </c>
      <c r="CT38" s="58"/>
      <c r="CU38" s="59"/>
      <c r="CW38" s="14">
        <f t="shared" si="270"/>
        <v>44</v>
      </c>
      <c r="CX38" s="6">
        <f t="shared" ref="CX38:CY38" si="382">CX37+1</f>
        <v>44131</v>
      </c>
      <c r="CY38" s="7">
        <f t="shared" si="382"/>
        <v>44131</v>
      </c>
      <c r="CZ38" s="4"/>
      <c r="DA38" s="3"/>
      <c r="DB38" s="5">
        <f t="shared" si="16"/>
        <v>0</v>
      </c>
      <c r="DC38" s="5"/>
      <c r="DD38" s="52">
        <f t="shared" si="17"/>
        <v>0</v>
      </c>
      <c r="DE38" s="58"/>
      <c r="DF38" s="59"/>
      <c r="DH38" s="14">
        <f t="shared" si="272"/>
        <v>48</v>
      </c>
      <c r="DI38" s="6">
        <f t="shared" ref="DI38:DJ38" si="383">DI37+1</f>
        <v>44162</v>
      </c>
      <c r="DJ38" s="7">
        <f t="shared" si="383"/>
        <v>44162</v>
      </c>
      <c r="DK38" s="4"/>
      <c r="DL38" s="3"/>
      <c r="DM38" s="5">
        <f t="shared" si="20"/>
        <v>0</v>
      </c>
      <c r="DN38" s="5"/>
      <c r="DO38" s="52">
        <f t="shared" si="21"/>
        <v>0</v>
      </c>
      <c r="DP38" s="58"/>
      <c r="DQ38" s="59"/>
      <c r="DS38" s="14">
        <f t="shared" si="274"/>
        <v>52</v>
      </c>
      <c r="DT38" s="6">
        <f t="shared" ref="DT38:DU38" si="384">DT37+1</f>
        <v>44192</v>
      </c>
      <c r="DU38" s="7">
        <f t="shared" si="384"/>
        <v>44192</v>
      </c>
      <c r="DV38" s="4"/>
      <c r="DW38" s="3"/>
      <c r="DX38" s="5">
        <f t="shared" si="24"/>
        <v>0</v>
      </c>
      <c r="DY38" s="5"/>
      <c r="DZ38" s="52">
        <f t="shared" si="25"/>
        <v>0</v>
      </c>
      <c r="EA38" s="58"/>
      <c r="EB38" s="59"/>
    </row>
    <row r="39" spans="1:132" x14ac:dyDescent="0.3">
      <c r="A39" s="24"/>
      <c r="B39" s="14">
        <f t="shared" si="27"/>
        <v>5</v>
      </c>
      <c r="C39" s="67">
        <f t="shared" si="55"/>
        <v>43858</v>
      </c>
      <c r="D39" s="62">
        <f>DATE($E$3,1,28)</f>
        <v>43858</v>
      </c>
      <c r="E39" s="4">
        <v>0.375</v>
      </c>
      <c r="F39" s="3">
        <v>0.75</v>
      </c>
      <c r="G39" s="5">
        <f t="shared" si="77"/>
        <v>0.375</v>
      </c>
      <c r="H39" s="5">
        <v>4.1666666666666664E-2</v>
      </c>
      <c r="I39" s="52">
        <f t="shared" si="28"/>
        <v>0.33333333333333331</v>
      </c>
      <c r="J39" s="77">
        <f t="shared" si="29"/>
        <v>0</v>
      </c>
      <c r="K39" s="59"/>
      <c r="M39" s="14">
        <f t="shared" si="30"/>
        <v>9</v>
      </c>
      <c r="N39" s="64">
        <f t="shared" si="56"/>
        <v>43889</v>
      </c>
      <c r="O39" s="62">
        <f>DATE($E$3,2,28)</f>
        <v>43889</v>
      </c>
      <c r="P39" s="4">
        <v>0.375</v>
      </c>
      <c r="Q39" s="3">
        <v>0.75</v>
      </c>
      <c r="R39" s="5">
        <v>0.375</v>
      </c>
      <c r="S39" s="5">
        <v>4.1666666666666664E-2</v>
      </c>
      <c r="T39" s="52">
        <f t="shared" si="352"/>
        <v>0.33333333333333331</v>
      </c>
      <c r="U39" s="79">
        <f>IF(WEEKDAY(N39,2)=7,SUMPRODUCT((_xlfn.ISOWEEKNUM(fevrier)=_xlfn.ISOWEEKNUM(N39))*(reelFevrier)),0)</f>
        <v>0</v>
      </c>
      <c r="V39" s="59"/>
      <c r="X39" s="14">
        <f t="shared" si="31"/>
        <v>13</v>
      </c>
      <c r="Y39" s="64">
        <f t="shared" si="58"/>
        <v>43918</v>
      </c>
      <c r="Z39" s="69">
        <f t="shared" si="59"/>
        <v>43918</v>
      </c>
      <c r="AA39" s="4">
        <v>0.375</v>
      </c>
      <c r="AB39" s="3">
        <v>0.75</v>
      </c>
      <c r="AC39" s="5">
        <v>0.375</v>
      </c>
      <c r="AD39" s="5">
        <v>4.1666666666666664E-2</v>
      </c>
      <c r="AE39" s="52">
        <f t="shared" si="60"/>
        <v>0.33333333333333331</v>
      </c>
      <c r="AF39" s="79">
        <f t="shared" si="154"/>
        <v>0</v>
      </c>
      <c r="AG39" s="59"/>
      <c r="AI39" s="14">
        <f t="shared" si="33"/>
        <v>18</v>
      </c>
      <c r="AJ39" s="6">
        <f t="shared" si="294"/>
        <v>43949</v>
      </c>
      <c r="AK39" s="7">
        <f t="shared" si="294"/>
        <v>43949</v>
      </c>
      <c r="AL39" s="4"/>
      <c r="AM39" s="3"/>
      <c r="AN39" s="5">
        <f t="shared" si="34"/>
        <v>0</v>
      </c>
      <c r="AO39" s="5"/>
      <c r="AP39" s="52">
        <f t="shared" si="62"/>
        <v>0</v>
      </c>
      <c r="AQ39" s="58">
        <f>SUM(AP39:AP42)</f>
        <v>0</v>
      </c>
      <c r="AR39" s="59">
        <f>IF(AQ39&gt;$G$2,AQ39-$G$2,0)+SUM(AS39:AS42)</f>
        <v>0</v>
      </c>
      <c r="AT39" s="14">
        <f t="shared" si="35"/>
        <v>22</v>
      </c>
      <c r="AU39" s="6">
        <f t="shared" ref="AU39:AV39" si="385">AU38+1</f>
        <v>43979</v>
      </c>
      <c r="AV39" s="7">
        <f t="shared" si="385"/>
        <v>43979</v>
      </c>
      <c r="AW39" s="4"/>
      <c r="AX39" s="3"/>
      <c r="AY39" s="5">
        <f t="shared" si="36"/>
        <v>0</v>
      </c>
      <c r="AZ39" s="5"/>
      <c r="BA39" s="52">
        <f t="shared" si="64"/>
        <v>0</v>
      </c>
      <c r="BB39" s="58">
        <f>SUM(BA39:BA42)</f>
        <v>0</v>
      </c>
      <c r="BC39" s="59">
        <f>IF(BB39&gt;$G$2,BB39-$G$2,0)+SUM(BD39:BD42)</f>
        <v>0</v>
      </c>
      <c r="BE39" s="14">
        <f t="shared" si="277"/>
        <v>26</v>
      </c>
      <c r="BF39" s="6">
        <f t="shared" ref="BF39:BG39" si="386">BF38+1</f>
        <v>44010</v>
      </c>
      <c r="BG39" s="7">
        <f t="shared" si="386"/>
        <v>44010</v>
      </c>
      <c r="BH39" s="4"/>
      <c r="BI39" s="3"/>
      <c r="BJ39" s="5">
        <f t="shared" si="0"/>
        <v>0</v>
      </c>
      <c r="BK39" s="5"/>
      <c r="BL39" s="52">
        <f t="shared" si="1"/>
        <v>0</v>
      </c>
      <c r="BM39" s="58">
        <f t="shared" ref="BM39" si="387">SUM(BL39:BL42)</f>
        <v>0</v>
      </c>
      <c r="BN39" s="59">
        <f t="shared" ref="BN39" si="388">IF(BM39&gt;$G$2,BM39-$G$2,0)+SUM(BO39:BO42)</f>
        <v>0</v>
      </c>
      <c r="BP39" s="14">
        <f t="shared" si="279"/>
        <v>31</v>
      </c>
      <c r="BQ39" s="6">
        <f t="shared" ref="BQ39:BR39" si="389">BQ38+1</f>
        <v>44040</v>
      </c>
      <c r="BR39" s="7">
        <f t="shared" si="389"/>
        <v>44040</v>
      </c>
      <c r="BS39" s="4"/>
      <c r="BT39" s="3"/>
      <c r="BU39" s="5">
        <f t="shared" si="4"/>
        <v>0</v>
      </c>
      <c r="BV39" s="5"/>
      <c r="BW39" s="52">
        <f t="shared" si="5"/>
        <v>0</v>
      </c>
      <c r="BX39" s="58">
        <f t="shared" ref="BX39" si="390">SUM(BW39:BW42)</f>
        <v>0</v>
      </c>
      <c r="BY39" s="59">
        <f t="shared" ref="BY39" si="391">IF(BX39&gt;$G$2,BX39-$G$2,0)+SUM(BZ39:BZ42)</f>
        <v>0</v>
      </c>
      <c r="CA39" s="14">
        <f t="shared" si="266"/>
        <v>35</v>
      </c>
      <c r="CB39" s="6">
        <f t="shared" ref="CB39:CC39" si="392">CB38+1</f>
        <v>44071</v>
      </c>
      <c r="CC39" s="7">
        <f t="shared" si="392"/>
        <v>44071</v>
      </c>
      <c r="CD39" s="4"/>
      <c r="CE39" s="3"/>
      <c r="CF39" s="5">
        <f t="shared" si="8"/>
        <v>0</v>
      </c>
      <c r="CG39" s="5"/>
      <c r="CH39" s="52">
        <f t="shared" si="9"/>
        <v>0</v>
      </c>
      <c r="CI39" s="58">
        <f t="shared" ref="CI39" si="393">SUM(CH39:CH42)</f>
        <v>0</v>
      </c>
      <c r="CJ39" s="59">
        <f t="shared" ref="CJ39:DQ39" si="394">IF(CI39&gt;$G$2,CI39-$G$2,0)+SUM(CK39:CK42)</f>
        <v>0</v>
      </c>
      <c r="CL39" s="14">
        <f t="shared" si="268"/>
        <v>40</v>
      </c>
      <c r="CM39" s="6">
        <f t="shared" ref="CM39:CN39" si="395">CM38+1</f>
        <v>44102</v>
      </c>
      <c r="CN39" s="7">
        <f t="shared" si="395"/>
        <v>44102</v>
      </c>
      <c r="CO39" s="4"/>
      <c r="CP39" s="3"/>
      <c r="CQ39" s="5">
        <f t="shared" si="12"/>
        <v>0</v>
      </c>
      <c r="CR39" s="5"/>
      <c r="CS39" s="52">
        <f t="shared" si="13"/>
        <v>0</v>
      </c>
      <c r="CT39" s="58">
        <f t="shared" ref="CT39" si="396">SUM(CS39:CS42)</f>
        <v>0</v>
      </c>
      <c r="CU39" s="59">
        <f t="shared" si="394"/>
        <v>0</v>
      </c>
      <c r="CW39" s="14">
        <f t="shared" si="270"/>
        <v>44</v>
      </c>
      <c r="CX39" s="6">
        <f t="shared" ref="CX39:CY39" si="397">CX38+1</f>
        <v>44132</v>
      </c>
      <c r="CY39" s="7">
        <f t="shared" si="397"/>
        <v>44132</v>
      </c>
      <c r="CZ39" s="4"/>
      <c r="DA39" s="3"/>
      <c r="DB39" s="5">
        <f t="shared" si="16"/>
        <v>0</v>
      </c>
      <c r="DC39" s="5"/>
      <c r="DD39" s="52">
        <f t="shared" si="17"/>
        <v>0</v>
      </c>
      <c r="DE39" s="58">
        <f t="shared" ref="DE39" si="398">SUM(DD39:DD42)</f>
        <v>0</v>
      </c>
      <c r="DF39" s="59">
        <f t="shared" si="394"/>
        <v>0</v>
      </c>
      <c r="DH39" s="14">
        <f t="shared" si="272"/>
        <v>48</v>
      </c>
      <c r="DI39" s="6">
        <f t="shared" ref="DI39:DJ39" si="399">DI38+1</f>
        <v>44163</v>
      </c>
      <c r="DJ39" s="7">
        <f t="shared" si="399"/>
        <v>44163</v>
      </c>
      <c r="DK39" s="4"/>
      <c r="DL39" s="3"/>
      <c r="DM39" s="5">
        <f t="shared" si="20"/>
        <v>0</v>
      </c>
      <c r="DN39" s="5"/>
      <c r="DO39" s="52">
        <f t="shared" si="21"/>
        <v>0</v>
      </c>
      <c r="DP39" s="58">
        <f t="shared" ref="DP39" si="400">SUM(DO39:DO42)</f>
        <v>0</v>
      </c>
      <c r="DQ39" s="59">
        <f t="shared" si="394"/>
        <v>0</v>
      </c>
      <c r="DS39" s="14">
        <f t="shared" si="274"/>
        <v>53</v>
      </c>
      <c r="DT39" s="6">
        <f t="shared" ref="DT39:DU39" si="401">DT38+1</f>
        <v>44193</v>
      </c>
      <c r="DU39" s="7">
        <f t="shared" si="401"/>
        <v>44193</v>
      </c>
      <c r="DV39" s="4"/>
      <c r="DW39" s="3"/>
      <c r="DX39" s="5">
        <f t="shared" si="24"/>
        <v>0</v>
      </c>
      <c r="DY39" s="5"/>
      <c r="DZ39" s="52">
        <f t="shared" si="25"/>
        <v>0</v>
      </c>
      <c r="EA39" s="58">
        <f t="shared" ref="EA39" si="402">SUM(DZ39:DZ42)</f>
        <v>0</v>
      </c>
      <c r="EB39" s="59" t="e">
        <f>IF(EA39&gt;$G$2,EA39-$G$2,0)+SUM(#REF!)</f>
        <v>#REF!</v>
      </c>
    </row>
    <row r="40" spans="1:132" ht="15" thickBot="1" x14ac:dyDescent="0.35">
      <c r="A40" s="24"/>
      <c r="B40" s="14">
        <f t="shared" si="27"/>
        <v>5</v>
      </c>
      <c r="C40" s="67">
        <f t="shared" si="55"/>
        <v>43859</v>
      </c>
      <c r="D40" s="62">
        <f>DATE($E$3,1,29)</f>
        <v>43859</v>
      </c>
      <c r="E40" s="4">
        <v>0.375</v>
      </c>
      <c r="F40" s="3">
        <v>0.75</v>
      </c>
      <c r="G40" s="5">
        <f t="shared" si="77"/>
        <v>0.375</v>
      </c>
      <c r="H40" s="5">
        <v>4.1666666666666664E-2</v>
      </c>
      <c r="I40" s="52">
        <f t="shared" si="28"/>
        <v>0.33333333333333331</v>
      </c>
      <c r="J40" s="77">
        <f t="shared" si="29"/>
        <v>0</v>
      </c>
      <c r="K40" s="59"/>
      <c r="M40" s="2">
        <f t="shared" si="30"/>
        <v>9</v>
      </c>
      <c r="N40" s="65">
        <f>IF(MONTH(N39+1)&lt;&gt;MONTH(N12),"",N39+1)</f>
        <v>43890</v>
      </c>
      <c r="O40" s="70">
        <f>IF(DAY(EOMONTH(DATE($E$3,2,1),0))=29,DATE($E$3,2,29),"")</f>
        <v>43890</v>
      </c>
      <c r="P40" s="33"/>
      <c r="Q40" s="34"/>
      <c r="R40" s="25"/>
      <c r="S40" s="25"/>
      <c r="T40" s="53">
        <f>IF(AND(N40&lt;&gt;"",R40&lt;1),R40-S40,"")</f>
        <v>0</v>
      </c>
      <c r="U40" s="80">
        <f>IFERROR(IF(WEEKDAY(N40,2)=7,SUMPRODUCT((_xlfn.ISOWEEKNUM(fevrier)=_xlfn.ISOWEEKNUM(N40))*(reelFevrier)),0),"")</f>
        <v>0</v>
      </c>
      <c r="V40" s="61"/>
      <c r="X40" s="14">
        <f t="shared" si="31"/>
        <v>13</v>
      </c>
      <c r="Y40" s="64">
        <f t="shared" si="58"/>
        <v>43919</v>
      </c>
      <c r="Z40" s="69">
        <f t="shared" si="59"/>
        <v>43919</v>
      </c>
      <c r="AA40" s="4"/>
      <c r="AB40" s="3"/>
      <c r="AC40" s="5">
        <f t="shared" si="140"/>
        <v>0</v>
      </c>
      <c r="AD40" s="5"/>
      <c r="AE40" s="52">
        <f t="shared" si="60"/>
        <v>0</v>
      </c>
      <c r="AF40" s="79">
        <f t="shared" si="154"/>
        <v>1.9999999999999998</v>
      </c>
      <c r="AG40" s="59"/>
      <c r="AI40" s="14">
        <f t="shared" si="33"/>
        <v>18</v>
      </c>
      <c r="AJ40" s="6">
        <f t="shared" si="294"/>
        <v>43950</v>
      </c>
      <c r="AK40" s="7">
        <f t="shared" si="294"/>
        <v>43950</v>
      </c>
      <c r="AL40" s="4"/>
      <c r="AM40" s="3"/>
      <c r="AN40" s="5">
        <f t="shared" si="34"/>
        <v>0</v>
      </c>
      <c r="AO40" s="5"/>
      <c r="AP40" s="52">
        <f t="shared" si="62"/>
        <v>0</v>
      </c>
      <c r="AQ40" s="58"/>
      <c r="AR40" s="59"/>
      <c r="AT40" s="14">
        <f t="shared" si="35"/>
        <v>22</v>
      </c>
      <c r="AU40" s="6">
        <f t="shared" ref="AU40:AV40" si="403">AU39+1</f>
        <v>43980</v>
      </c>
      <c r="AV40" s="7">
        <f t="shared" si="403"/>
        <v>43980</v>
      </c>
      <c r="AW40" s="4"/>
      <c r="AX40" s="3"/>
      <c r="AY40" s="5">
        <f t="shared" si="36"/>
        <v>0</v>
      </c>
      <c r="AZ40" s="5"/>
      <c r="BA40" s="52">
        <f t="shared" si="64"/>
        <v>0</v>
      </c>
      <c r="BB40" s="58"/>
      <c r="BC40" s="59"/>
      <c r="BE40" s="14">
        <f t="shared" si="277"/>
        <v>27</v>
      </c>
      <c r="BF40" s="6">
        <f t="shared" ref="BF40:BG40" si="404">BF39+1</f>
        <v>44011</v>
      </c>
      <c r="BG40" s="7">
        <f t="shared" si="404"/>
        <v>44011</v>
      </c>
      <c r="BH40" s="4"/>
      <c r="BI40" s="3"/>
      <c r="BJ40" s="5">
        <f t="shared" si="0"/>
        <v>0</v>
      </c>
      <c r="BK40" s="5"/>
      <c r="BL40" s="52">
        <f t="shared" si="1"/>
        <v>0</v>
      </c>
      <c r="BM40" s="58"/>
      <c r="BN40" s="59"/>
      <c r="BP40" s="14">
        <f t="shared" si="279"/>
        <v>31</v>
      </c>
      <c r="BQ40" s="6">
        <f t="shared" ref="BQ40:BR40" si="405">BQ39+1</f>
        <v>44041</v>
      </c>
      <c r="BR40" s="7">
        <f t="shared" si="405"/>
        <v>44041</v>
      </c>
      <c r="BS40" s="4"/>
      <c r="BT40" s="3"/>
      <c r="BU40" s="5">
        <f t="shared" si="4"/>
        <v>0</v>
      </c>
      <c r="BV40" s="5"/>
      <c r="BW40" s="52">
        <f t="shared" si="5"/>
        <v>0</v>
      </c>
      <c r="BX40" s="58"/>
      <c r="BY40" s="59"/>
      <c r="CA40" s="14">
        <f t="shared" si="266"/>
        <v>35</v>
      </c>
      <c r="CB40" s="6">
        <f t="shared" ref="CB40:CC40" si="406">CB39+1</f>
        <v>44072</v>
      </c>
      <c r="CC40" s="7">
        <f t="shared" si="406"/>
        <v>44072</v>
      </c>
      <c r="CD40" s="4"/>
      <c r="CE40" s="3"/>
      <c r="CF40" s="5">
        <f t="shared" si="8"/>
        <v>0</v>
      </c>
      <c r="CG40" s="5"/>
      <c r="CH40" s="52">
        <f t="shared" si="9"/>
        <v>0</v>
      </c>
      <c r="CI40" s="58"/>
      <c r="CJ40" s="59"/>
      <c r="CL40" s="14">
        <f t="shared" si="268"/>
        <v>40</v>
      </c>
      <c r="CM40" s="6">
        <f t="shared" ref="CM40:CN40" si="407">CM39+1</f>
        <v>44103</v>
      </c>
      <c r="CN40" s="7">
        <f t="shared" si="407"/>
        <v>44103</v>
      </c>
      <c r="CO40" s="4"/>
      <c r="CP40" s="3"/>
      <c r="CQ40" s="5">
        <f t="shared" si="12"/>
        <v>0</v>
      </c>
      <c r="CR40" s="5"/>
      <c r="CS40" s="52">
        <f t="shared" si="13"/>
        <v>0</v>
      </c>
      <c r="CT40" s="58"/>
      <c r="CU40" s="59"/>
      <c r="CW40" s="14">
        <f t="shared" si="270"/>
        <v>44</v>
      </c>
      <c r="CX40" s="6">
        <f t="shared" ref="CX40:CY40" si="408">CX39+1</f>
        <v>44133</v>
      </c>
      <c r="CY40" s="7">
        <f t="shared" si="408"/>
        <v>44133</v>
      </c>
      <c r="CZ40" s="4"/>
      <c r="DA40" s="3"/>
      <c r="DB40" s="5">
        <f t="shared" si="16"/>
        <v>0</v>
      </c>
      <c r="DC40" s="5"/>
      <c r="DD40" s="52">
        <f t="shared" si="17"/>
        <v>0</v>
      </c>
      <c r="DE40" s="58"/>
      <c r="DF40" s="59"/>
      <c r="DH40" s="14">
        <f t="shared" si="272"/>
        <v>48</v>
      </c>
      <c r="DI40" s="6">
        <f t="shared" ref="DI40:DJ40" si="409">DI39+1</f>
        <v>44164</v>
      </c>
      <c r="DJ40" s="7">
        <f t="shared" si="409"/>
        <v>44164</v>
      </c>
      <c r="DK40" s="4"/>
      <c r="DL40" s="3"/>
      <c r="DM40" s="5">
        <f t="shared" si="20"/>
        <v>0</v>
      </c>
      <c r="DN40" s="5"/>
      <c r="DO40" s="52">
        <f t="shared" si="21"/>
        <v>0</v>
      </c>
      <c r="DP40" s="58"/>
      <c r="DQ40" s="59"/>
      <c r="DS40" s="14">
        <f t="shared" si="274"/>
        <v>53</v>
      </c>
      <c r="DT40" s="6">
        <f t="shared" ref="DT40:DU40" si="410">DT39+1</f>
        <v>44194</v>
      </c>
      <c r="DU40" s="7">
        <f t="shared" si="410"/>
        <v>44194</v>
      </c>
      <c r="DV40" s="4"/>
      <c r="DW40" s="3"/>
      <c r="DX40" s="5">
        <f t="shared" si="24"/>
        <v>0</v>
      </c>
      <c r="DY40" s="5"/>
      <c r="DZ40" s="52">
        <f t="shared" si="25"/>
        <v>0</v>
      </c>
      <c r="EA40" s="58"/>
      <c r="EB40" s="59"/>
    </row>
    <row r="41" spans="1:132" ht="15" thickBot="1" x14ac:dyDescent="0.35">
      <c r="A41" s="24"/>
      <c r="B41" s="14">
        <f t="shared" si="27"/>
        <v>5</v>
      </c>
      <c r="C41" s="67">
        <f t="shared" si="55"/>
        <v>43860</v>
      </c>
      <c r="D41" s="62">
        <f>DATE($E$3,1,30)</f>
        <v>43860</v>
      </c>
      <c r="E41" s="4">
        <v>0.375</v>
      </c>
      <c r="F41" s="3">
        <v>0.75</v>
      </c>
      <c r="G41" s="5">
        <f t="shared" si="77"/>
        <v>0.375</v>
      </c>
      <c r="H41" s="5">
        <v>4.1666666666666664E-2</v>
      </c>
      <c r="I41" s="52">
        <f t="shared" si="28"/>
        <v>0.33333333333333331</v>
      </c>
      <c r="J41" s="77">
        <f t="shared" si="29"/>
        <v>0</v>
      </c>
      <c r="K41" s="59"/>
      <c r="M41" s="18"/>
      <c r="N41" s="19"/>
      <c r="O41" s="19"/>
      <c r="P41" s="16"/>
      <c r="Q41" s="16"/>
      <c r="R41" s="17"/>
      <c r="S41" s="20"/>
      <c r="T41" s="16"/>
      <c r="U41" s="21"/>
      <c r="V41" s="21"/>
      <c r="W41" s="15"/>
      <c r="X41" s="14">
        <f t="shared" si="31"/>
        <v>14</v>
      </c>
      <c r="Y41" s="64">
        <f t="shared" si="58"/>
        <v>43920</v>
      </c>
      <c r="Z41" s="69">
        <f t="shared" si="59"/>
        <v>43920</v>
      </c>
      <c r="AA41" s="4">
        <v>0.375</v>
      </c>
      <c r="AB41" s="3">
        <v>0.75</v>
      </c>
      <c r="AC41" s="5">
        <v>0.375</v>
      </c>
      <c r="AD41" s="5">
        <v>4.1666666666666664E-2</v>
      </c>
      <c r="AE41" s="52">
        <f t="shared" si="60"/>
        <v>0.33333333333333331</v>
      </c>
      <c r="AF41" s="79">
        <f t="shared" si="154"/>
        <v>0</v>
      </c>
      <c r="AG41" s="59"/>
      <c r="AI41" s="2">
        <f t="shared" si="33"/>
        <v>18</v>
      </c>
      <c r="AJ41" s="8">
        <f t="shared" si="294"/>
        <v>43951</v>
      </c>
      <c r="AK41" s="9">
        <f t="shared" si="294"/>
        <v>43951</v>
      </c>
      <c r="AL41" s="33"/>
      <c r="AM41" s="34"/>
      <c r="AN41" s="25">
        <f t="shared" si="34"/>
        <v>0</v>
      </c>
      <c r="AO41" s="25"/>
      <c r="AP41" s="53">
        <f t="shared" si="62"/>
        <v>0</v>
      </c>
      <c r="AQ41" s="60"/>
      <c r="AR41" s="61"/>
      <c r="AT41" s="14">
        <f t="shared" si="35"/>
        <v>22</v>
      </c>
      <c r="AU41" s="6">
        <f t="shared" ref="AU41:AV41" si="411">AU40+1</f>
        <v>43981</v>
      </c>
      <c r="AV41" s="7">
        <f t="shared" si="411"/>
        <v>43981</v>
      </c>
      <c r="AW41" s="4"/>
      <c r="AX41" s="3"/>
      <c r="AY41" s="5">
        <f t="shared" si="36"/>
        <v>0</v>
      </c>
      <c r="AZ41" s="5"/>
      <c r="BA41" s="52">
        <f t="shared" si="64"/>
        <v>0</v>
      </c>
      <c r="BB41" s="58"/>
      <c r="BC41" s="59"/>
      <c r="BE41" s="2">
        <f t="shared" si="277"/>
        <v>27</v>
      </c>
      <c r="BF41" s="8">
        <f t="shared" ref="BF41:BG41" si="412">BF40+1</f>
        <v>44012</v>
      </c>
      <c r="BG41" s="9">
        <f t="shared" si="412"/>
        <v>44012</v>
      </c>
      <c r="BH41" s="33"/>
      <c r="BI41" s="34"/>
      <c r="BJ41" s="25">
        <f t="shared" si="0"/>
        <v>0</v>
      </c>
      <c r="BK41" s="25"/>
      <c r="BL41" s="53">
        <f t="shared" si="1"/>
        <v>0</v>
      </c>
      <c r="BM41" s="60"/>
      <c r="BN41" s="61"/>
      <c r="BP41" s="14">
        <f t="shared" si="279"/>
        <v>31</v>
      </c>
      <c r="BQ41" s="6">
        <f t="shared" ref="BQ41:BR41" si="413">BQ40+1</f>
        <v>44042</v>
      </c>
      <c r="BR41" s="7">
        <f t="shared" si="413"/>
        <v>44042</v>
      </c>
      <c r="BS41" s="4"/>
      <c r="BT41" s="3"/>
      <c r="BU41" s="5">
        <f t="shared" si="4"/>
        <v>0</v>
      </c>
      <c r="BV41" s="5"/>
      <c r="BW41" s="52">
        <f t="shared" si="5"/>
        <v>0</v>
      </c>
      <c r="BX41" s="58"/>
      <c r="BY41" s="59"/>
      <c r="CA41" s="14">
        <f t="shared" si="266"/>
        <v>35</v>
      </c>
      <c r="CB41" s="6">
        <f t="shared" ref="CB41:CC41" si="414">CB40+1</f>
        <v>44073</v>
      </c>
      <c r="CC41" s="7">
        <f t="shared" si="414"/>
        <v>44073</v>
      </c>
      <c r="CD41" s="4"/>
      <c r="CE41" s="3"/>
      <c r="CF41" s="5">
        <f t="shared" si="8"/>
        <v>0</v>
      </c>
      <c r="CG41" s="5"/>
      <c r="CH41" s="52">
        <f t="shared" si="9"/>
        <v>0</v>
      </c>
      <c r="CI41" s="58"/>
      <c r="CJ41" s="59"/>
      <c r="CL41" s="2">
        <f t="shared" si="268"/>
        <v>40</v>
      </c>
      <c r="CM41" s="8">
        <f t="shared" ref="CM41:CN41" si="415">CM40+1</f>
        <v>44104</v>
      </c>
      <c r="CN41" s="9">
        <f t="shared" si="415"/>
        <v>44104</v>
      </c>
      <c r="CO41" s="33"/>
      <c r="CP41" s="34"/>
      <c r="CQ41" s="25">
        <f t="shared" si="12"/>
        <v>0</v>
      </c>
      <c r="CR41" s="25"/>
      <c r="CS41" s="53">
        <f t="shared" si="13"/>
        <v>0</v>
      </c>
      <c r="CT41" s="60"/>
      <c r="CU41" s="61"/>
      <c r="CW41" s="14">
        <f t="shared" si="270"/>
        <v>44</v>
      </c>
      <c r="CX41" s="6">
        <f t="shared" ref="CX41:CY41" si="416">CX40+1</f>
        <v>44134</v>
      </c>
      <c r="CY41" s="7">
        <f t="shared" si="416"/>
        <v>44134</v>
      </c>
      <c r="CZ41" s="4"/>
      <c r="DA41" s="3"/>
      <c r="DB41" s="5">
        <f t="shared" si="16"/>
        <v>0</v>
      </c>
      <c r="DC41" s="5"/>
      <c r="DD41" s="52">
        <f t="shared" si="17"/>
        <v>0</v>
      </c>
      <c r="DE41" s="58"/>
      <c r="DF41" s="59"/>
      <c r="DH41" s="2">
        <f t="shared" si="272"/>
        <v>49</v>
      </c>
      <c r="DI41" s="8">
        <f t="shared" ref="DI41:DJ41" si="417">DI40+1</f>
        <v>44165</v>
      </c>
      <c r="DJ41" s="9">
        <f t="shared" si="417"/>
        <v>44165</v>
      </c>
      <c r="DK41" s="33"/>
      <c r="DL41" s="34"/>
      <c r="DM41" s="25">
        <f t="shared" si="20"/>
        <v>0</v>
      </c>
      <c r="DN41" s="25"/>
      <c r="DO41" s="53">
        <f t="shared" si="21"/>
        <v>0</v>
      </c>
      <c r="DP41" s="60"/>
      <c r="DQ41" s="61"/>
      <c r="DS41" s="14">
        <f t="shared" si="274"/>
        <v>53</v>
      </c>
      <c r="DT41" s="6">
        <f t="shared" ref="DT41:DU41" si="418">DT40+1</f>
        <v>44195</v>
      </c>
      <c r="DU41" s="7">
        <f t="shared" si="418"/>
        <v>44195</v>
      </c>
      <c r="DV41" s="4"/>
      <c r="DW41" s="3"/>
      <c r="DX41" s="5">
        <f t="shared" si="24"/>
        <v>0</v>
      </c>
      <c r="DY41" s="5"/>
      <c r="DZ41" s="52">
        <f t="shared" si="25"/>
        <v>0</v>
      </c>
      <c r="EA41" s="58"/>
      <c r="EB41" s="59"/>
    </row>
    <row r="42" spans="1:132" ht="15" thickBot="1" x14ac:dyDescent="0.35">
      <c r="A42" s="24"/>
      <c r="B42" s="2">
        <f t="shared" si="27"/>
        <v>5</v>
      </c>
      <c r="C42" s="68">
        <f t="shared" si="55"/>
        <v>43861</v>
      </c>
      <c r="D42" s="62">
        <f>DATE($E$3,1,31)</f>
        <v>43861</v>
      </c>
      <c r="E42" s="33"/>
      <c r="F42" s="34"/>
      <c r="G42" s="25"/>
      <c r="H42" s="25"/>
      <c r="I42" s="53">
        <f t="shared" si="28"/>
        <v>0</v>
      </c>
      <c r="J42" s="78">
        <f t="shared" si="29"/>
        <v>0</v>
      </c>
      <c r="K42" s="61"/>
      <c r="N42" s="22"/>
      <c r="O42" s="22"/>
      <c r="Q42" s="23"/>
      <c r="R42" s="17"/>
      <c r="S42" s="17"/>
      <c r="T42" s="23"/>
      <c r="U42" s="21"/>
      <c r="V42" s="21"/>
      <c r="X42" s="2">
        <f t="shared" si="31"/>
        <v>14</v>
      </c>
      <c r="Y42" s="65">
        <f t="shared" si="58"/>
        <v>43921</v>
      </c>
      <c r="Z42" s="71">
        <f t="shared" si="59"/>
        <v>43921</v>
      </c>
      <c r="AA42" s="33">
        <v>0.375</v>
      </c>
      <c r="AB42" s="34">
        <v>0.75</v>
      </c>
      <c r="AC42" s="25">
        <v>0.375</v>
      </c>
      <c r="AD42" s="25">
        <v>4.1666666666666664E-2</v>
      </c>
      <c r="AE42" s="53">
        <f t="shared" si="60"/>
        <v>0.33333333333333331</v>
      </c>
      <c r="AF42" s="80">
        <f t="shared" si="154"/>
        <v>0</v>
      </c>
      <c r="AG42" s="61"/>
      <c r="AT42" s="2">
        <f t="shared" si="35"/>
        <v>22</v>
      </c>
      <c r="AU42" s="8">
        <f t="shared" ref="AU42:AV42" si="419">AU41+1</f>
        <v>43982</v>
      </c>
      <c r="AV42" s="9">
        <f t="shared" si="419"/>
        <v>43982</v>
      </c>
      <c r="AW42" s="33"/>
      <c r="AX42" s="34"/>
      <c r="AY42" s="25">
        <f t="shared" si="36"/>
        <v>0</v>
      </c>
      <c r="AZ42" s="25"/>
      <c r="BA42" s="53">
        <f t="shared" si="64"/>
        <v>0</v>
      </c>
      <c r="BB42" s="60"/>
      <c r="BC42" s="61"/>
      <c r="BP42" s="2">
        <f t="shared" si="279"/>
        <v>31</v>
      </c>
      <c r="BQ42" s="8">
        <f t="shared" ref="BQ42:BR42" si="420">BQ41+1</f>
        <v>44043</v>
      </c>
      <c r="BR42" s="9">
        <f t="shared" si="420"/>
        <v>44043</v>
      </c>
      <c r="BS42" s="33"/>
      <c r="BT42" s="34"/>
      <c r="BU42" s="25">
        <f t="shared" si="4"/>
        <v>0</v>
      </c>
      <c r="BV42" s="25"/>
      <c r="BW42" s="53">
        <f t="shared" si="5"/>
        <v>0</v>
      </c>
      <c r="BX42" s="60"/>
      <c r="BY42" s="61"/>
      <c r="CA42" s="2">
        <f t="shared" si="266"/>
        <v>36</v>
      </c>
      <c r="CB42" s="8">
        <f t="shared" ref="CB42:CC42" si="421">CB41+1</f>
        <v>44074</v>
      </c>
      <c r="CC42" s="9">
        <f t="shared" si="421"/>
        <v>44074</v>
      </c>
      <c r="CD42" s="33"/>
      <c r="CE42" s="34"/>
      <c r="CF42" s="25">
        <f t="shared" si="8"/>
        <v>0</v>
      </c>
      <c r="CG42" s="25"/>
      <c r="CH42" s="53">
        <f t="shared" si="9"/>
        <v>0</v>
      </c>
      <c r="CI42" s="60"/>
      <c r="CJ42" s="61"/>
      <c r="CW42" s="2">
        <f t="shared" si="270"/>
        <v>44</v>
      </c>
      <c r="CX42" s="8">
        <f t="shared" ref="CX42:CY42" si="422">CX41+1</f>
        <v>44135</v>
      </c>
      <c r="CY42" s="9">
        <f t="shared" si="422"/>
        <v>44135</v>
      </c>
      <c r="CZ42" s="33"/>
      <c r="DA42" s="34"/>
      <c r="DB42" s="25">
        <f t="shared" si="16"/>
        <v>0</v>
      </c>
      <c r="DC42" s="25"/>
      <c r="DD42" s="53">
        <f t="shared" si="17"/>
        <v>0</v>
      </c>
      <c r="DE42" s="60"/>
      <c r="DF42" s="61"/>
      <c r="DS42" s="2">
        <f t="shared" si="274"/>
        <v>53</v>
      </c>
      <c r="DT42" s="8">
        <f t="shared" ref="DT42:DU42" si="423">DT41+1</f>
        <v>44196</v>
      </c>
      <c r="DU42" s="9">
        <f t="shared" si="423"/>
        <v>44196</v>
      </c>
      <c r="DV42" s="33"/>
      <c r="DW42" s="34"/>
      <c r="DX42" s="25">
        <f t="shared" si="24"/>
        <v>0</v>
      </c>
      <c r="DY42" s="25"/>
      <c r="DZ42" s="53">
        <f t="shared" si="25"/>
        <v>0</v>
      </c>
      <c r="EA42" s="60"/>
      <c r="EB42" s="61"/>
    </row>
    <row r="43" spans="1:132" x14ac:dyDescent="0.3">
      <c r="D43" s="26"/>
    </row>
    <row r="56" spans="4:9" x14ac:dyDescent="0.3">
      <c r="D56" s="31" t="s">
        <v>3</v>
      </c>
      <c r="E56" s="31"/>
      <c r="F56" s="87"/>
      <c r="G56" s="87"/>
    </row>
    <row r="57" spans="4:9" x14ac:dyDescent="0.3">
      <c r="D57" s="31" t="s">
        <v>4</v>
      </c>
      <c r="E57" s="31"/>
      <c r="F57" s="91">
        <f>DATE(E3,1,1)</f>
        <v>43831</v>
      </c>
      <c r="G57" s="91"/>
    </row>
    <row r="58" spans="4:9" x14ac:dyDescent="0.3">
      <c r="D58" s="31" t="s">
        <v>5</v>
      </c>
      <c r="E58" s="31"/>
      <c r="F58" s="91">
        <f>ROUND(DATE(E3,4,MOD(234-11*MOD(E3,19),30))/7,0)*7-6</f>
        <v>43933</v>
      </c>
      <c r="G58" s="91"/>
    </row>
    <row r="59" spans="4:9" x14ac:dyDescent="0.3">
      <c r="D59" s="31" t="s">
        <v>6</v>
      </c>
      <c r="E59" s="31"/>
      <c r="F59" s="91">
        <f>F58+1</f>
        <v>43934</v>
      </c>
      <c r="G59" s="91"/>
    </row>
    <row r="60" spans="4:9" x14ac:dyDescent="0.3">
      <c r="D60" s="31" t="s">
        <v>7</v>
      </c>
      <c r="E60" s="31"/>
      <c r="F60" s="91">
        <f>DATE(E3,5,1)</f>
        <v>43952</v>
      </c>
      <c r="G60" s="91"/>
      <c r="H60" s="86"/>
      <c r="I60" s="86"/>
    </row>
    <row r="61" spans="4:9" x14ac:dyDescent="0.3">
      <c r="D61" s="31" t="s">
        <v>8</v>
      </c>
      <c r="E61" s="31"/>
      <c r="F61" s="91">
        <f>F58+39</f>
        <v>43972</v>
      </c>
      <c r="G61" s="91"/>
    </row>
    <row r="62" spans="4:9" x14ac:dyDescent="0.3">
      <c r="D62" s="31" t="s">
        <v>9</v>
      </c>
      <c r="E62" s="31"/>
      <c r="F62" s="91">
        <f>F58+49</f>
        <v>43982</v>
      </c>
      <c r="G62" s="91"/>
    </row>
    <row r="63" spans="4:9" x14ac:dyDescent="0.3">
      <c r="D63" s="31" t="s">
        <v>10</v>
      </c>
      <c r="E63" s="31"/>
      <c r="F63" s="91">
        <f>F58+50</f>
        <v>43983</v>
      </c>
      <c r="G63" s="91"/>
    </row>
    <row r="64" spans="4:9" x14ac:dyDescent="0.3">
      <c r="D64" s="31" t="s">
        <v>11</v>
      </c>
      <c r="E64" s="31"/>
      <c r="F64" s="91">
        <f>DATE(E3,7,21)</f>
        <v>44033</v>
      </c>
      <c r="G64" s="91"/>
    </row>
    <row r="65" spans="4:7" x14ac:dyDescent="0.3">
      <c r="D65" s="31" t="s">
        <v>12</v>
      </c>
      <c r="E65" s="31"/>
      <c r="F65" s="91">
        <f>DATE(E3,8,15)</f>
        <v>44058</v>
      </c>
      <c r="G65" s="91"/>
    </row>
    <row r="66" spans="4:7" x14ac:dyDescent="0.3">
      <c r="D66" s="31" t="s">
        <v>13</v>
      </c>
      <c r="E66" s="31"/>
      <c r="F66" s="91">
        <f>DATE(E3,11,1)</f>
        <v>44136</v>
      </c>
      <c r="G66" s="91"/>
    </row>
    <row r="67" spans="4:7" x14ac:dyDescent="0.3">
      <c r="D67" s="31" t="s">
        <v>15</v>
      </c>
      <c r="E67" s="31"/>
      <c r="F67" s="91">
        <f>DATE(E3,11,11)</f>
        <v>44146</v>
      </c>
      <c r="G67" s="91"/>
    </row>
    <row r="68" spans="4:7" x14ac:dyDescent="0.3">
      <c r="D68" s="31" t="s">
        <v>14</v>
      </c>
      <c r="E68" s="31"/>
      <c r="F68" s="91">
        <f>DATE(E3,12,25)</f>
        <v>44190</v>
      </c>
      <c r="G68" s="91"/>
    </row>
  </sheetData>
  <mergeCells count="41">
    <mergeCell ref="BF10:BN10"/>
    <mergeCell ref="BQ10:BY10"/>
    <mergeCell ref="BF11:BG11"/>
    <mergeCell ref="BQ11:BR11"/>
    <mergeCell ref="DT11:DU11"/>
    <mergeCell ref="DT10:EB10"/>
    <mergeCell ref="CB10:CJ10"/>
    <mergeCell ref="CM10:CU10"/>
    <mergeCell ref="CX10:DF10"/>
    <mergeCell ref="DI10:DQ10"/>
    <mergeCell ref="CB11:CC11"/>
    <mergeCell ref="CM11:CN11"/>
    <mergeCell ref="CX11:CY11"/>
    <mergeCell ref="DI11:DJ11"/>
    <mergeCell ref="Y10:AG10"/>
    <mergeCell ref="Y11:Z11"/>
    <mergeCell ref="AU10:BC10"/>
    <mergeCell ref="AU11:AV11"/>
    <mergeCell ref="AJ10:AR10"/>
    <mergeCell ref="AJ11:AK11"/>
    <mergeCell ref="F66:G66"/>
    <mergeCell ref="F67:G67"/>
    <mergeCell ref="F68:G68"/>
    <mergeCell ref="F57:G57"/>
    <mergeCell ref="F58:G58"/>
    <mergeCell ref="F59:G59"/>
    <mergeCell ref="F60:G60"/>
    <mergeCell ref="F61:G61"/>
    <mergeCell ref="F62:G62"/>
    <mergeCell ref="F63:G63"/>
    <mergeCell ref="C3:D3"/>
    <mergeCell ref="C5:D5"/>
    <mergeCell ref="F64:G64"/>
    <mergeCell ref="F65:G65"/>
    <mergeCell ref="C11:D11"/>
    <mergeCell ref="C10:K10"/>
    <mergeCell ref="N10:V10"/>
    <mergeCell ref="N11:O11"/>
    <mergeCell ref="H60:I60"/>
    <mergeCell ref="F56:G56"/>
    <mergeCell ref="C7:L9"/>
  </mergeCells>
  <phoneticPr fontId="4" type="noConversion"/>
  <conditionalFormatting sqref="C12:I42">
    <cfRule type="expression" dxfId="38" priority="27">
      <formula>COUNTIF($F$57:$F$68,$D12)&gt;0</formula>
    </cfRule>
  </conditionalFormatting>
  <conditionalFormatting sqref="N12:V40">
    <cfRule type="expression" dxfId="37" priority="39">
      <formula>WEEKDAY($O12,2)&gt;6</formula>
    </cfRule>
  </conditionalFormatting>
  <conditionalFormatting sqref="Y12:AG42">
    <cfRule type="expression" dxfId="36" priority="38">
      <formula>WEEKDAY($Z12,2)&gt;6</formula>
    </cfRule>
  </conditionalFormatting>
  <conditionalFormatting sqref="AJ12:AP41">
    <cfRule type="expression" dxfId="35" priority="12">
      <formula>COUNTIF($F$57:$F$68,$AJ12)&gt;0</formula>
    </cfRule>
    <cfRule type="expression" dxfId="34" priority="37">
      <formula>WEEKDAY($AK12,2)&gt;6</formula>
    </cfRule>
  </conditionalFormatting>
  <conditionalFormatting sqref="AU12:BA42">
    <cfRule type="expression" dxfId="33" priority="11">
      <formula>COUNTIF($F$57:$F$68,$AU12)&gt;0</formula>
    </cfRule>
    <cfRule type="expression" dxfId="32" priority="36">
      <formula>WEEKDAY($AV12,2)&gt;6</formula>
    </cfRule>
  </conditionalFormatting>
  <conditionalFormatting sqref="BF12:BL41">
    <cfRule type="expression" dxfId="31" priority="10">
      <formula>COUNTIF($F$57:$F$68,$BF12)&gt;0</formula>
    </cfRule>
    <cfRule type="expression" dxfId="30" priority="35">
      <formula>WEEKDAY($BG12,2)&gt;6</formula>
    </cfRule>
  </conditionalFormatting>
  <conditionalFormatting sqref="BQ12:BW42">
    <cfRule type="expression" dxfId="29" priority="9">
      <formula>COUNTIF($F$57:$F$68,$BQ12)&gt;0</formula>
    </cfRule>
    <cfRule type="expression" dxfId="28" priority="34">
      <formula>WEEKDAY($BR12,2)&gt;6</formula>
    </cfRule>
  </conditionalFormatting>
  <conditionalFormatting sqref="CB12:CH42">
    <cfRule type="expression" dxfId="27" priority="8">
      <formula>COUNTIF($F$57:$F$68,$CB12)&gt;0</formula>
    </cfRule>
    <cfRule type="expression" dxfId="26" priority="33">
      <formula>WEEKDAY($CC12,2)&gt;6</formula>
    </cfRule>
  </conditionalFormatting>
  <conditionalFormatting sqref="CM12:CS41">
    <cfRule type="expression" dxfId="25" priority="7">
      <formula>COUNTIF($F$57:$F$68,$CM12)&gt;0</formula>
    </cfRule>
    <cfRule type="expression" dxfId="24" priority="32">
      <formula>WEEKDAY($CN12,2)&gt;6</formula>
    </cfRule>
  </conditionalFormatting>
  <conditionalFormatting sqref="CX12:DD42">
    <cfRule type="expression" dxfId="23" priority="6">
      <formula>COUNTIF($F$57:$F$68,$CX12)&gt;0</formula>
    </cfRule>
    <cfRule type="expression" dxfId="22" priority="31">
      <formula>WEEKDAY($CY12,2)&gt;6</formula>
    </cfRule>
  </conditionalFormatting>
  <conditionalFormatting sqref="DI12:DO41">
    <cfRule type="expression" dxfId="21" priority="5">
      <formula>COUNTIF($F$57:$F$68,$DI12)&gt;0</formula>
    </cfRule>
    <cfRule type="expression" dxfId="20" priority="30">
      <formula>WEEKDAY($DJ12,2)&gt;6</formula>
    </cfRule>
  </conditionalFormatting>
  <conditionalFormatting sqref="DT12:DZ42">
    <cfRule type="expression" dxfId="19" priority="4">
      <formula>COUNTIF($F$57:$F$68,$DT12)&gt;0</formula>
    </cfRule>
    <cfRule type="expression" dxfId="18" priority="29">
      <formula>WEEKDAY($DU12,2)&gt;6</formula>
    </cfRule>
  </conditionalFormatting>
  <conditionalFormatting sqref="B12:B42">
    <cfRule type="expression" dxfId="17" priority="26">
      <formula>$B12=$E$5</formula>
    </cfRule>
  </conditionalFormatting>
  <conditionalFormatting sqref="M12:M40">
    <cfRule type="expression" dxfId="16" priority="25">
      <formula>$M12=$E$5</formula>
    </cfRule>
  </conditionalFormatting>
  <conditionalFormatting sqref="X12:X42">
    <cfRule type="expression" dxfId="15" priority="24">
      <formula>$X12=$E$5</formula>
    </cfRule>
  </conditionalFormatting>
  <conditionalFormatting sqref="AI12:AI41">
    <cfRule type="expression" dxfId="14" priority="23">
      <formula>$AI12=$E$5</formula>
    </cfRule>
  </conditionalFormatting>
  <conditionalFormatting sqref="AT12:AT42">
    <cfRule type="expression" dxfId="13" priority="22">
      <formula>$AT12=$E$5</formula>
    </cfRule>
  </conditionalFormatting>
  <conditionalFormatting sqref="BE12:BE41">
    <cfRule type="expression" dxfId="12" priority="21">
      <formula>$BE12=$E$5</formula>
    </cfRule>
  </conditionalFormatting>
  <conditionalFormatting sqref="BP12:BP42">
    <cfRule type="expression" dxfId="11" priority="20">
      <formula>$BP12=$E$5</formula>
    </cfRule>
  </conditionalFormatting>
  <conditionalFormatting sqref="CA12:CA42">
    <cfRule type="expression" dxfId="10" priority="19">
      <formula>$CA12=$E$5</formula>
    </cfRule>
  </conditionalFormatting>
  <conditionalFormatting sqref="CL12:CL41">
    <cfRule type="expression" dxfId="9" priority="18">
      <formula>$CL12=$E$5</formula>
    </cfRule>
  </conditionalFormatting>
  <conditionalFormatting sqref="CW12:CW42">
    <cfRule type="expression" dxfId="8" priority="17">
      <formula>$CW12=$E$5</formula>
    </cfRule>
  </conditionalFormatting>
  <conditionalFormatting sqref="DH12:DH41">
    <cfRule type="expression" dxfId="7" priority="16">
      <formula>$DH12=$E$5</formula>
    </cfRule>
  </conditionalFormatting>
  <conditionalFormatting sqref="DS12:DS42">
    <cfRule type="expression" dxfId="6" priority="15">
      <formula>$DS12=$E$5</formula>
    </cfRule>
  </conditionalFormatting>
  <conditionalFormatting sqref="M12:P40">
    <cfRule type="expression" dxfId="5" priority="14">
      <formula>COUNTIF($F$57:$F$68,$N12)&gt;0</formula>
    </cfRule>
  </conditionalFormatting>
  <conditionalFormatting sqref="X12:AA42">
    <cfRule type="expression" dxfId="4" priority="13">
      <formula>COUNTIF($F$57:$F$68,$Y12)&gt;0</formula>
    </cfRule>
  </conditionalFormatting>
  <conditionalFormatting sqref="C12:K42">
    <cfRule type="expression" dxfId="3" priority="40">
      <formula>WEEKDAY($D12,2)&gt;6</formula>
    </cfRule>
  </conditionalFormatting>
  <conditionalFormatting sqref="I12:I42">
    <cfRule type="expression" dxfId="2" priority="3">
      <formula>WEEKDAY($D12,2)&gt;6</formula>
    </cfRule>
  </conditionalFormatting>
  <conditionalFormatting sqref="T12:T40">
    <cfRule type="expression" dxfId="1" priority="2">
      <formula>WEEKDAY($O12,2)&gt;6</formula>
    </cfRule>
  </conditionalFormatting>
  <conditionalFormatting sqref="AE12:AE42">
    <cfRule type="expression" dxfId="0" priority="1">
      <formula>WEEKDAY($Z12,2)&gt;6</formula>
    </cfRule>
  </conditionalFormatting>
  <dataValidations count="1">
    <dataValidation type="list" allowBlank="1" showInputMessage="1" showErrorMessage="1" sqref="E3" xr:uid="{00000000-0002-0000-0000-000000000000}">
      <formula1>Années</formula1>
    </dataValidation>
  </dataValidations>
  <pageMargins left="0.7" right="0.7" top="0.75" bottom="0.75" header="0.3" footer="0.3"/>
  <pageSetup paperSize="9" orientation="portrait" r:id="rId1"/>
  <headerFooter>
    <oddHeader>&amp;C&amp;"Calibri"&amp;10&amp;K000000AGC Internal Use Only.&amp;1#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Feuil2!$D$3:$D$56</xm:f>
          </x14:formula1>
          <xm:sqref>E5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56"/>
  <sheetViews>
    <sheetView workbookViewId="0">
      <selection activeCell="H3" sqref="H3"/>
    </sheetView>
  </sheetViews>
  <sheetFormatPr baseColWidth="10" defaultRowHeight="14.4" x14ac:dyDescent="0.3"/>
  <cols>
    <col min="7" max="7" width="16.88671875" customWidth="1"/>
    <col min="8" max="8" width="34" customWidth="1"/>
  </cols>
  <sheetData>
    <row r="2" spans="2:8" x14ac:dyDescent="0.3">
      <c r="B2" t="s">
        <v>1</v>
      </c>
      <c r="D2" t="s">
        <v>2</v>
      </c>
      <c r="G2" t="s">
        <v>0</v>
      </c>
      <c r="H2">
        <v>2021</v>
      </c>
    </row>
    <row r="3" spans="2:8" x14ac:dyDescent="0.3">
      <c r="B3">
        <v>2020</v>
      </c>
      <c r="D3">
        <v>1</v>
      </c>
    </row>
    <row r="4" spans="2:8" x14ac:dyDescent="0.3">
      <c r="B4">
        <v>2021</v>
      </c>
      <c r="D4">
        <v>2</v>
      </c>
      <c r="G4" t="s">
        <v>3</v>
      </c>
    </row>
    <row r="5" spans="2:8" x14ac:dyDescent="0.3">
      <c r="B5">
        <v>2022</v>
      </c>
      <c r="D5">
        <v>3</v>
      </c>
      <c r="G5" t="s">
        <v>4</v>
      </c>
      <c r="H5" s="1">
        <f>DATE(H2,1,1)</f>
        <v>44197</v>
      </c>
    </row>
    <row r="6" spans="2:8" x14ac:dyDescent="0.3">
      <c r="B6">
        <v>2023</v>
      </c>
      <c r="D6">
        <v>4</v>
      </c>
      <c r="G6" t="s">
        <v>5</v>
      </c>
      <c r="H6" s="1">
        <f>ROUND(DATE(H2,4,MOD(234-11*MOD(H2,19),30))/7,0)*7-6</f>
        <v>44290</v>
      </c>
    </row>
    <row r="7" spans="2:8" x14ac:dyDescent="0.3">
      <c r="B7">
        <v>2024</v>
      </c>
      <c r="D7">
        <v>5</v>
      </c>
      <c r="G7" t="s">
        <v>6</v>
      </c>
      <c r="H7" s="1">
        <f>H6+1</f>
        <v>44291</v>
      </c>
    </row>
    <row r="8" spans="2:8" x14ac:dyDescent="0.3">
      <c r="B8">
        <v>2025</v>
      </c>
      <c r="D8">
        <v>6</v>
      </c>
      <c r="G8" t="s">
        <v>7</v>
      </c>
      <c r="H8" s="1">
        <f>DATE(H2,5,1)</f>
        <v>44317</v>
      </c>
    </row>
    <row r="9" spans="2:8" x14ac:dyDescent="0.3">
      <c r="B9">
        <v>2026</v>
      </c>
      <c r="D9">
        <v>7</v>
      </c>
      <c r="G9" t="s">
        <v>8</v>
      </c>
      <c r="H9" s="1">
        <f>H6+39</f>
        <v>44329</v>
      </c>
    </row>
    <row r="10" spans="2:8" x14ac:dyDescent="0.3">
      <c r="B10">
        <v>2027</v>
      </c>
      <c r="D10">
        <v>8</v>
      </c>
      <c r="G10" t="s">
        <v>9</v>
      </c>
      <c r="H10" s="1">
        <f>H6+49</f>
        <v>44339</v>
      </c>
    </row>
    <row r="11" spans="2:8" x14ac:dyDescent="0.3">
      <c r="B11">
        <v>2028</v>
      </c>
      <c r="D11">
        <v>9</v>
      </c>
      <c r="G11" t="s">
        <v>10</v>
      </c>
      <c r="H11" s="1">
        <f>H6+50</f>
        <v>44340</v>
      </c>
    </row>
    <row r="12" spans="2:8" x14ac:dyDescent="0.3">
      <c r="B12">
        <v>2029</v>
      </c>
      <c r="D12">
        <v>10</v>
      </c>
      <c r="G12" t="s">
        <v>11</v>
      </c>
      <c r="H12" s="1">
        <f>DATE(H2,7,21)</f>
        <v>44398</v>
      </c>
    </row>
    <row r="13" spans="2:8" x14ac:dyDescent="0.3">
      <c r="B13">
        <v>2030</v>
      </c>
      <c r="D13">
        <v>11</v>
      </c>
      <c r="G13" t="s">
        <v>12</v>
      </c>
      <c r="H13" s="1">
        <f>DATE(H2,8,15)</f>
        <v>44423</v>
      </c>
    </row>
    <row r="14" spans="2:8" x14ac:dyDescent="0.3">
      <c r="B14">
        <v>2031</v>
      </c>
      <c r="D14">
        <v>12</v>
      </c>
      <c r="G14" t="s">
        <v>13</v>
      </c>
      <c r="H14" s="1">
        <f>DATE(H2,11,1)</f>
        <v>44501</v>
      </c>
    </row>
    <row r="15" spans="2:8" x14ac:dyDescent="0.3">
      <c r="B15">
        <v>2032</v>
      </c>
      <c r="D15">
        <v>13</v>
      </c>
      <c r="G15" t="s">
        <v>15</v>
      </c>
      <c r="H15" s="1">
        <f>H14+10</f>
        <v>44511</v>
      </c>
    </row>
    <row r="16" spans="2:8" x14ac:dyDescent="0.3">
      <c r="B16">
        <v>2033</v>
      </c>
      <c r="D16">
        <v>14</v>
      </c>
      <c r="G16" t="s">
        <v>14</v>
      </c>
      <c r="H16" s="1">
        <f>DATE(H2,12,25)</f>
        <v>44555</v>
      </c>
    </row>
    <row r="17" spans="2:4" x14ac:dyDescent="0.3">
      <c r="B17">
        <v>2034</v>
      </c>
      <c r="D17">
        <v>15</v>
      </c>
    </row>
    <row r="18" spans="2:4" x14ac:dyDescent="0.3">
      <c r="B18">
        <v>2035</v>
      </c>
      <c r="D18">
        <v>16</v>
      </c>
    </row>
    <row r="19" spans="2:4" x14ac:dyDescent="0.3">
      <c r="B19">
        <v>2036</v>
      </c>
      <c r="D19">
        <v>17</v>
      </c>
    </row>
    <row r="20" spans="2:4" x14ac:dyDescent="0.3">
      <c r="B20">
        <v>2037</v>
      </c>
      <c r="D20">
        <v>18</v>
      </c>
    </row>
    <row r="21" spans="2:4" x14ac:dyDescent="0.3">
      <c r="B21">
        <v>2038</v>
      </c>
      <c r="D21">
        <v>19</v>
      </c>
    </row>
    <row r="22" spans="2:4" x14ac:dyDescent="0.3">
      <c r="B22">
        <v>2039</v>
      </c>
      <c r="D22">
        <v>20</v>
      </c>
    </row>
    <row r="23" spans="2:4" x14ac:dyDescent="0.3">
      <c r="B23">
        <v>2040</v>
      </c>
      <c r="D23">
        <v>21</v>
      </c>
    </row>
    <row r="24" spans="2:4" x14ac:dyDescent="0.3">
      <c r="B24">
        <v>2041</v>
      </c>
      <c r="D24">
        <v>22</v>
      </c>
    </row>
    <row r="25" spans="2:4" x14ac:dyDescent="0.3">
      <c r="B25">
        <v>2042</v>
      </c>
      <c r="D25">
        <v>23</v>
      </c>
    </row>
    <row r="26" spans="2:4" x14ac:dyDescent="0.3">
      <c r="B26">
        <v>2043</v>
      </c>
      <c r="D26">
        <v>24</v>
      </c>
    </row>
    <row r="27" spans="2:4" x14ac:dyDescent="0.3">
      <c r="B27">
        <v>2044</v>
      </c>
      <c r="D27">
        <v>25</v>
      </c>
    </row>
    <row r="28" spans="2:4" x14ac:dyDescent="0.3">
      <c r="B28">
        <v>2045</v>
      </c>
      <c r="D28">
        <v>26</v>
      </c>
    </row>
    <row r="29" spans="2:4" x14ac:dyDescent="0.3">
      <c r="D29">
        <v>27</v>
      </c>
    </row>
    <row r="30" spans="2:4" x14ac:dyDescent="0.3">
      <c r="D30">
        <v>28</v>
      </c>
    </row>
    <row r="31" spans="2:4" x14ac:dyDescent="0.3">
      <c r="D31">
        <v>29</v>
      </c>
    </row>
    <row r="32" spans="2:4" x14ac:dyDescent="0.3">
      <c r="D32">
        <v>30</v>
      </c>
    </row>
    <row r="33" spans="4:4" x14ac:dyDescent="0.3">
      <c r="D33">
        <v>31</v>
      </c>
    </row>
    <row r="34" spans="4:4" x14ac:dyDescent="0.3">
      <c r="D34">
        <v>32</v>
      </c>
    </row>
    <row r="35" spans="4:4" x14ac:dyDescent="0.3">
      <c r="D35">
        <v>33</v>
      </c>
    </row>
    <row r="36" spans="4:4" x14ac:dyDescent="0.3">
      <c r="D36">
        <v>34</v>
      </c>
    </row>
    <row r="37" spans="4:4" x14ac:dyDescent="0.3">
      <c r="D37">
        <v>35</v>
      </c>
    </row>
    <row r="38" spans="4:4" x14ac:dyDescent="0.3">
      <c r="D38">
        <v>36</v>
      </c>
    </row>
    <row r="39" spans="4:4" x14ac:dyDescent="0.3">
      <c r="D39">
        <v>37</v>
      </c>
    </row>
    <row r="40" spans="4:4" x14ac:dyDescent="0.3">
      <c r="D40">
        <v>38</v>
      </c>
    </row>
    <row r="41" spans="4:4" x14ac:dyDescent="0.3">
      <c r="D41">
        <v>39</v>
      </c>
    </row>
    <row r="42" spans="4:4" x14ac:dyDescent="0.3">
      <c r="D42">
        <v>40</v>
      </c>
    </row>
    <row r="43" spans="4:4" x14ac:dyDescent="0.3">
      <c r="D43">
        <v>41</v>
      </c>
    </row>
    <row r="44" spans="4:4" x14ac:dyDescent="0.3">
      <c r="D44">
        <v>42</v>
      </c>
    </row>
    <row r="45" spans="4:4" x14ac:dyDescent="0.3">
      <c r="D45">
        <v>43</v>
      </c>
    </row>
    <row r="46" spans="4:4" x14ac:dyDescent="0.3">
      <c r="D46">
        <v>44</v>
      </c>
    </row>
    <row r="47" spans="4:4" x14ac:dyDescent="0.3">
      <c r="D47">
        <v>45</v>
      </c>
    </row>
    <row r="48" spans="4:4" x14ac:dyDescent="0.3">
      <c r="D48">
        <v>46</v>
      </c>
    </row>
    <row r="49" spans="4:4" x14ac:dyDescent="0.3">
      <c r="D49">
        <v>47</v>
      </c>
    </row>
    <row r="50" spans="4:4" x14ac:dyDescent="0.3">
      <c r="D50">
        <v>48</v>
      </c>
    </row>
    <row r="51" spans="4:4" x14ac:dyDescent="0.3">
      <c r="D51">
        <v>49</v>
      </c>
    </row>
    <row r="52" spans="4:4" x14ac:dyDescent="0.3">
      <c r="D52">
        <v>50</v>
      </c>
    </row>
    <row r="53" spans="4:4" x14ac:dyDescent="0.3">
      <c r="D53">
        <v>51</v>
      </c>
    </row>
    <row r="54" spans="4:4" x14ac:dyDescent="0.3">
      <c r="D54">
        <v>52</v>
      </c>
    </row>
    <row r="55" spans="4:4" x14ac:dyDescent="0.3">
      <c r="D55">
        <v>53</v>
      </c>
    </row>
    <row r="56" spans="4:4" x14ac:dyDescent="0.3">
      <c r="D56">
        <v>54</v>
      </c>
    </row>
  </sheetData>
  <pageMargins left="0.7" right="0.7" top="0.75" bottom="0.75" header="0.3" footer="0.3"/>
  <pageSetup paperSize="9" orientation="portrait" verticalDpi="0" r:id="rId1"/>
  <headerFooter>
    <oddHeader>&amp;C&amp;"Calibri"&amp;10&amp;K000000AGC Internal Use Only.&amp;1#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Années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JoDan</cp:lastModifiedBy>
  <dcterms:created xsi:type="dcterms:W3CDTF">2020-10-30T15:03:52Z</dcterms:created>
  <dcterms:modified xsi:type="dcterms:W3CDTF">2020-11-02T09:57:59Z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5f2eb32-1734-49e1-8398-a303cd34c189_Enabled">
    <vt:lpwstr>True</vt:lpwstr>
  </property>
  <property fmtid="{D5CDD505-2E9C-101B-9397-08002B2CF9AE}" pid="3" name="MSIP_Label_05f2eb32-1734-49e1-8398-a303cd34c189_SiteId">
    <vt:lpwstr>faa6053b-36c4-4c36-af04-796200c185bf</vt:lpwstr>
  </property>
  <property fmtid="{D5CDD505-2E9C-101B-9397-08002B2CF9AE}" pid="4" name="MSIP_Label_05f2eb32-1734-49e1-8398-a303cd34c189_Owner">
    <vt:lpwstr>LIGNE2.MSTSQCVF2@eu.agc.com</vt:lpwstr>
  </property>
  <property fmtid="{D5CDD505-2E9C-101B-9397-08002B2CF9AE}" pid="5" name="MSIP_Label_05f2eb32-1734-49e1-8398-a303cd34c189_SetDate">
    <vt:lpwstr>2020-10-30T23:02:58.1563837Z</vt:lpwstr>
  </property>
  <property fmtid="{D5CDD505-2E9C-101B-9397-08002B2CF9AE}" pid="6" name="MSIP_Label_05f2eb32-1734-49e1-8398-a303cd34c189_Name">
    <vt:lpwstr>Internal Use Only</vt:lpwstr>
  </property>
  <property fmtid="{D5CDD505-2E9C-101B-9397-08002B2CF9AE}" pid="7" name="MSIP_Label_05f2eb32-1734-49e1-8398-a303cd34c189_Application">
    <vt:lpwstr>Microsoft Azure Information Protection</vt:lpwstr>
  </property>
  <property fmtid="{D5CDD505-2E9C-101B-9397-08002B2CF9AE}" pid="8" name="MSIP_Label_05f2eb32-1734-49e1-8398-a303cd34c189_Extended_MSFT_Method">
    <vt:lpwstr>Automatic</vt:lpwstr>
  </property>
  <property fmtid="{D5CDD505-2E9C-101B-9397-08002B2CF9AE}" pid="9" name="Sensitivity">
    <vt:lpwstr>Internal Use Only</vt:lpwstr>
  </property>
</Properties>
</file>