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8A8096AD-3D07-4FCA-8F74-5E5D75CA188F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Plan de charge" sheetId="1" r:id="rId1"/>
    <sheet name="PQ" sheetId="7" r:id="rId2"/>
    <sheet name="Paramètres" sheetId="3" r:id="rId3"/>
  </sheets>
  <definedNames>
    <definedName name="_Annee">Paramètres!$C$2</definedName>
    <definedName name="_AnneeN1">Paramètres!$C$3</definedName>
    <definedName name="_Feries">Jours_fériés[Dates]</definedName>
    <definedName name="_Statut">TStatut[Statut]</definedName>
    <definedName name="DonnéesExternes_1" localSheetId="1" hidden="1">PQ!$A$1:$F$18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  <c r="C19" i="3" l="1"/>
  <c r="C6" i="3"/>
  <c r="C3" i="3"/>
  <c r="C28" i="3" s="1"/>
  <c r="C30" i="3"/>
  <c r="C29" i="3"/>
  <c r="C27" i="3"/>
  <c r="C26" i="3"/>
  <c r="C22" i="3"/>
  <c r="C18" i="3"/>
  <c r="C25" i="3"/>
  <c r="C5" i="3"/>
  <c r="C17" i="3"/>
  <c r="C21" i="3" l="1"/>
  <c r="C23" i="3"/>
  <c r="C20" i="3"/>
  <c r="C24" i="3"/>
  <c r="C10" i="3"/>
  <c r="C14" i="3"/>
  <c r="C7" i="3"/>
  <c r="C11" i="3"/>
  <c r="C15" i="3"/>
  <c r="C8" i="3"/>
  <c r="C12" i="3"/>
  <c r="C16" i="3"/>
  <c r="C9" i="3"/>
  <c r="C13" i="3"/>
  <c r="H4" i="1" l="1"/>
  <c r="H5" i="1" s="1"/>
  <c r="I4" i="1" l="1"/>
  <c r="I5" i="1" s="1"/>
  <c r="H8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H7" i="1"/>
  <c r="J4" i="1" l="1"/>
  <c r="J5" i="1" s="1"/>
  <c r="I8" i="1"/>
  <c r="J8" i="1" l="1"/>
  <c r="K4" i="1"/>
  <c r="K5" i="1" s="1"/>
  <c r="K8" i="1" l="1"/>
  <c r="L4" i="1"/>
  <c r="L5" i="1" s="1"/>
  <c r="L8" i="1" l="1"/>
  <c r="M4" i="1"/>
  <c r="M5" i="1" s="1"/>
  <c r="M8" i="1" l="1"/>
  <c r="N4" i="1"/>
  <c r="N5" i="1" s="1"/>
  <c r="N8" i="1" l="1"/>
  <c r="O4" i="1"/>
  <c r="O5" i="1" s="1"/>
  <c r="O8" i="1" l="1"/>
  <c r="P4" i="1"/>
  <c r="P5" i="1" s="1"/>
  <c r="P8" i="1" l="1"/>
  <c r="Q4" i="1"/>
  <c r="Q5" i="1" s="1"/>
  <c r="Q8" i="1" l="1"/>
  <c r="R4" i="1"/>
  <c r="R5" i="1" s="1"/>
  <c r="R8" i="1" l="1"/>
  <c r="S4" i="1"/>
  <c r="S5" i="1" s="1"/>
  <c r="S8" i="1" l="1"/>
  <c r="T4" i="1"/>
  <c r="T5" i="1" s="1"/>
  <c r="T8" i="1" l="1"/>
  <c r="U4" i="1"/>
  <c r="U5" i="1" s="1"/>
  <c r="U8" i="1" l="1"/>
  <c r="V4" i="1"/>
  <c r="V5" i="1" l="1"/>
  <c r="V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53C57AA-EA28-4555-93D4-76A95BB910EF}" keepAlive="1" name="Requête - Base" description="Connexion à la requête « Base » dans le classeur." type="5" refreshedVersion="6" background="1">
    <dbPr connection="Provider=Microsoft.Mashup.OleDb.1;Data Source=$Workbook$;Location=Base;Extended Properties=&quot;&quot;" command="SELECT * FROM [Base]"/>
  </connection>
  <connection id="2" xr16:uid="{B4EF10D9-166B-41E0-95FB-2348150CDE40}" keepAlive="1" name="Requête - Cacul nb jous ouvrés" description="Connexion à la requête « Cacul nb jous ouvrés » dans le classeur." type="5" refreshedVersion="0" background="1">
    <dbPr connection="Provider=Microsoft.Mashup.OleDb.1;Data Source=$Workbook$;Location=&quot;Cacul nb jous ouvrés&quot;;Extended Properties=&quot;&quot;" command="SELECT * FROM [Cacul nb jous ouvrés]"/>
  </connection>
  <connection id="3" xr16:uid="{1E2DE7F7-3F70-4BBC-9A6C-2C453B02631B}" keepAlive="1" name="Requête - Jours_fériés" description="Connexion à la requête « Jours_fériés » dans le classeur." type="5" refreshedVersion="6" background="1">
    <dbPr connection="Provider=Microsoft.Mashup.OleDb.1;Data Source=$Workbook$;Location=Jours_fériés;Extended Properties=&quot;&quot;" command="SELECT * FROM [Jours_fériés]"/>
  </connection>
  <connection id="4" xr16:uid="{9A063373-6F32-47C9-A696-CCE3F38145AB}" keepAlive="1" name="Requête - Nb heures mensuelles" description="Connexion à la requête « Nb heures mensuelles » dans le classeur." type="5" refreshedVersion="6" background="1" saveData="1">
    <dbPr connection="Provider=Microsoft.Mashup.OleDb.1;Data Source=$Workbook$;Location=Nb heures mensuelles;Extended Properties=&quot;&quot;" command="SELECT * FROM [Nb heures mensuelles]"/>
  </connection>
  <connection id="5" xr16:uid="{06C2007B-B4C3-4FAB-BEA2-E77BA3693776}" keepAlive="1" name="Requête - Regroupement mois" description="Connexion à la requête « Regroupement mois » dans le classeur." type="5" refreshedVersion="6" background="1" saveData="1">
    <dbPr connection="Provider=Microsoft.Mashup.OleDb.1;Data Source=$Workbook$;Location=&quot;Regroupement mois&quot;;Extended Properties=&quot;&quot;" command="SELECT * FROM [Regroupement mois]"/>
  </connection>
</connections>
</file>

<file path=xl/sharedStrings.xml><?xml version="1.0" encoding="utf-8"?>
<sst xmlns="http://schemas.openxmlformats.org/spreadsheetml/2006/main" count="76" uniqueCount="52">
  <si>
    <t>DATE DE DEBUT</t>
  </si>
  <si>
    <t>DATE DE FIN</t>
  </si>
  <si>
    <t>STATUT</t>
  </si>
  <si>
    <t>En attente</t>
  </si>
  <si>
    <t>En commande</t>
  </si>
  <si>
    <t>refusé</t>
  </si>
  <si>
    <t>annulé</t>
  </si>
  <si>
    <t>NB D'HEURES PREVUES</t>
  </si>
  <si>
    <t>nb d'heures prévues</t>
  </si>
  <si>
    <t>capacité</t>
  </si>
  <si>
    <t>tx de charge</t>
  </si>
  <si>
    <t>Base horaire ETP/mois</t>
  </si>
  <si>
    <t>DEVIS</t>
  </si>
  <si>
    <t>nb d'ETP chantier</t>
  </si>
  <si>
    <t>à faire</t>
  </si>
  <si>
    <t>SUIVI DES DEVIS</t>
  </si>
  <si>
    <t>PLAN DE CHARGE</t>
  </si>
  <si>
    <t>https://forum.excel-pratique.com/excel/creation-plan-de-charge-excel-147200</t>
  </si>
  <si>
    <t>Année en cours :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</si>
  <si>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</si>
  <si>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</si>
  <si>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</si>
  <si>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</si>
  <si>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</si>
  <si>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</si>
  <si>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</si>
  <si>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</si>
  <si>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</si>
  <si>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</si>
  <si>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</si>
  <si>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</si>
  <si>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</si>
  <si>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</si>
  <si>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</si>
  <si>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Année N+1 :</t>
  </si>
  <si>
    <t>Année mois</t>
  </si>
  <si>
    <t>2020 10</t>
  </si>
  <si>
    <t>2020 11</t>
  </si>
  <si>
    <t>2020 12</t>
  </si>
  <si>
    <t>2021 1</t>
  </si>
  <si>
    <t>2021 2</t>
  </si>
  <si>
    <t>2021 3</t>
  </si>
  <si>
    <t>2021 4</t>
  </si>
  <si>
    <t>Nb jours ouvrés</t>
  </si>
  <si>
    <t>Nb heures</t>
  </si>
  <si>
    <t>Statut</t>
  </si>
  <si>
    <t>2021 5</t>
  </si>
  <si>
    <t>2021 6</t>
  </si>
  <si>
    <t>2021 7</t>
  </si>
  <si>
    <t>Devis</t>
  </si>
  <si>
    <t>Nb heures prévues</t>
  </si>
  <si>
    <t>Cumul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</si>
</sst>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#,##0;&quot;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/>
    </xf>
    <xf numFmtId="0" fontId="0" fillId="0" borderId="4" xfId="0" applyFont="1" applyBorder="1"/>
    <xf numFmtId="0" fontId="0" fillId="0" borderId="5" xfId="0" applyFont="1" applyBorder="1"/>
    <xf numFmtId="0" fontId="0" fillId="0" borderId="6" xfId="0" applyFont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9" fontId="0" fillId="0" borderId="1" xfId="1" applyNumberFormat="1" applyFont="1" applyBorder="1"/>
    <xf numFmtId="9" fontId="0" fillId="0" borderId="2" xfId="1" applyNumberFormat="1" applyFont="1" applyBorder="1"/>
    <xf numFmtId="9" fontId="0" fillId="0" borderId="3" xfId="1" applyNumberFormat="1" applyFont="1" applyBorder="1"/>
    <xf numFmtId="14" fontId="0" fillId="0" borderId="0" xfId="0" applyNumberFormat="1" applyAlignment="1">
      <alignment horizontal="right" vertical="center" wrapText="1"/>
    </xf>
    <xf numFmtId="14" fontId="0" fillId="0" borderId="0" xfId="0" applyNumberFormat="1"/>
    <xf numFmtId="0" fontId="6" fillId="0" borderId="0" xfId="2"/>
    <xf numFmtId="0" fontId="0" fillId="0" borderId="0" xfId="0" applyAlignment="1">
      <alignment horizontal="left"/>
    </xf>
    <xf numFmtId="14" fontId="0" fillId="0" borderId="0" xfId="0" applyNumberFormat="1" applyAlignment="1"/>
    <xf numFmtId="0" fontId="3" fillId="0" borderId="0" xfId="0" applyFont="1" applyAlignment="1">
      <alignment horizontal="right"/>
    </xf>
    <xf numFmtId="3" fontId="0" fillId="0" borderId="0" xfId="0" applyNumberFormat="1"/>
    <xf numFmtId="3" fontId="0" fillId="0" borderId="0" xfId="0" quotePrefix="1" applyNumberFormat="1"/>
    <xf numFmtId="164" fontId="4" fillId="3" borderId="4" xfId="0" applyNumberFormat="1" applyFont="1" applyFill="1" applyBorder="1"/>
    <xf numFmtId="17" fontId="5" fillId="2" borderId="4" xfId="0" applyNumberFormat="1" applyFont="1" applyFill="1" applyBorder="1" applyAlignment="1">
      <alignment horizontal="center" vertical="center" wrapText="1"/>
    </xf>
    <xf numFmtId="17" fontId="5" fillId="2" borderId="5" xfId="0" applyNumberFormat="1" applyFont="1" applyFill="1" applyBorder="1" applyAlignment="1">
      <alignment horizontal="center" vertical="center" wrapText="1"/>
    </xf>
    <xf numFmtId="0" fontId="7" fillId="0" borderId="0" xfId="0" applyFont="1"/>
    <xf numFmtId="14" fontId="7" fillId="0" borderId="0" xfId="0" applyNumberFormat="1" applyFon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9">
    <dxf>
      <numFmt numFmtId="3" formatCode="#,##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color rgb="FFC00000"/>
      </font>
      <fill>
        <patternFill>
          <bgColor theme="7" tint="0.79998168889431442"/>
        </patternFill>
      </fill>
    </dxf>
    <dxf>
      <numFmt numFmtId="19" formatCode="dd/mm/yyyy"/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236220</xdr:colOff>
      <xdr:row>0</xdr:row>
      <xdr:rowOff>114300</xdr:rowOff>
    </xdr:from>
    <xdr:to>
      <xdr:col>8</xdr:col>
      <xdr:colOff>609600</xdr:colOff>
      <xdr:row>2</xdr:row>
      <xdr:rowOff>76200</xdr:rowOff>
    </xdr:to>
    <xdr:sp macro="[0]!ActualiserRequet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E96B313-B0F3-4477-906E-21ED6A5E6101}"/>
            </a:ext>
          </a:extLst>
        </xdr:cNvPr>
        <xdr:cNvSpPr/>
      </xdr:nvSpPr>
      <xdr:spPr>
        <a:xfrm>
          <a:off x="6156960" y="114300"/>
          <a:ext cx="1097280" cy="3276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4" xr16:uid="{FA7F6A1D-0490-4322-9C73-F56B464A3DD8}" autoFormatId="16" applyNumberFormats="0" applyBorderFormats="0" applyFontFormats="0" applyPatternFormats="0" applyAlignmentFormats="0" applyWidthHeightFormats="0">
  <queryTableRefresh nextId="12">
    <queryTableFields count="6">
      <queryTableField id="1" name="Année mois" tableColumnId="1"/>
      <queryTableField id="2" name="DEVIS" tableColumnId="2"/>
      <queryTableField id="8" name="Nb heures prévues" tableColumnId="8"/>
      <queryTableField id="5" name="Nb jours ouvrés" tableColumnId="5"/>
      <queryTableField id="9" name="Cumul jours ouvrés" tableColumnId="9"/>
      <queryTableField id="7" name="Nb heures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872956-1038-47C7-8FC6-DD4A41003176}" name="Tableau1" displayName="Tableau1" ref="A4:E10" totalsRowShown="0" headerRowDxfId="8">
  <autoFilter ref="A4:E10" xr:uid="{A2EE4200-D8A5-4243-8BC2-0DB4064DA781}"/>
  <tableColumns count="5">
    <tableColumn id="1" xr3:uid="{70052E9A-0866-47EE-A492-0B38C45F2FE5}" name="DEVIS"/>
    <tableColumn id="2" xr3:uid="{6DADE8F5-681C-4A7E-BF43-E7BE3D9BA29F}" name="NB D'HEURES PREVUES"/>
    <tableColumn id="3" xr3:uid="{4DDA11FB-31EF-40D4-A697-9AD6EDFA63F8}" name="DATE DE DEBUT"/>
    <tableColumn id="4" xr3:uid="{CA1AFD51-D9C8-45FF-AFBE-18200C37D924}" name="DATE DE FIN"/>
    <tableColumn id="5" xr3:uid="{C099DA03-CA59-4CD2-82AB-9AD8F1A35803}" name="STATU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433B0D0-506A-4FB6-A20F-8FB6C8E6D070}" name="Nb_heures_mensuelles" displayName="Nb_heures_mensuelles" ref="A1:F18" tableType="queryTable" totalsRowShown="0" headerRowDxfId="7" dataDxfId="6">
  <autoFilter ref="A1:F18" xr:uid="{A0D047F7-99AB-450D-B1F5-54731907A3B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xmlns:xlrd2="http://schemas.microsoft.com/office/spreadsheetml/2017/richdata2" ref="A2:F18">
    <sortCondition ref="A1:A18"/>
  </sortState>
  <tableColumns count="6">
    <tableColumn id="1" xr3:uid="{9757C4D3-8CBC-4BEC-AE75-E72BED0874E7}" uniqueName="1" name="Année mois" queryTableFieldId="1" dataDxfId="3"/>
    <tableColumn id="2" xr3:uid="{E46294C4-3810-44A1-8B5B-7DDC07038559}" uniqueName="2" name="Devis" queryTableFieldId="2" dataDxfId="2"/>
    <tableColumn id="8" xr3:uid="{5CEAED98-8C60-44C1-B030-6436B29CA95B}" uniqueName="8" name="Nb heures prévues" queryTableFieldId="8"/>
    <tableColumn id="5" xr3:uid="{87D7AFDB-4F1B-487B-ACA7-94213145FEF9}" uniqueName="5" name="Nb jours ouvrés" queryTableFieldId="5" dataDxfId="1"/>
    <tableColumn id="9" xr3:uid="{71FDFD2E-131B-4C00-98D3-DD9C21C8DE1E}" uniqueName="9" name="Cumul jours ouvrés" queryTableFieldId="9"/>
    <tableColumn id="7" xr3:uid="{BA094BFA-166C-46BB-BA22-F7E4F12160EF}" uniqueName="7" name="Nb heures" queryTableFieldId="7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1D28B36-ED04-4385-B06F-84162679EFE6}" name="Jours_fériés" displayName="Jours_fériés" ref="B4:C30" totalsRowShown="0">
  <autoFilter ref="B4:C30" xr:uid="{91F1A504-4B8A-4771-9222-58721BF7C439}"/>
  <tableColumns count="2">
    <tableColumn id="1" xr3:uid="{FE3504FF-BCDA-4D7C-92ED-FE403283D885}" name="Jour férié"/>
    <tableColumn id="3" xr3:uid="{3065AEE2-EE2A-4255-BDB3-D2CB3F297E0E}" name="Dates" dataDxfId="5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289FBCD-7A56-4F2D-8A6F-E2BBF7768770}" name="TStatut" displayName="TStatut" ref="E4:E9" totalsRowShown="0">
  <autoFilter ref="E4:E9" xr:uid="{05BAFE93-1C64-4A2B-9491-6D19232DD7AA}"/>
  <tableColumns count="1">
    <tableColumn id="1" xr3:uid="{7A2AE951-9331-4295-BDFB-F78D1142C96E}" name="Statut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reation-plan-de-charge-excel-147200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4"/>
  <sheetViews>
    <sheetView showGridLines="0" tabSelected="1" workbookViewId="0">
      <selection activeCell="E8" sqref="E8"/>
    </sheetView>
  </sheetViews>
  <sheetFormatPr baseColWidth="10" defaultColWidth="9.109375" defaultRowHeight="14.4" x14ac:dyDescent="0.3"/>
  <cols>
    <col min="2" max="2" width="13.33203125" customWidth="1"/>
    <col min="3" max="3" width="12.33203125" customWidth="1"/>
    <col min="4" max="4" width="10.88671875" customWidth="1"/>
    <col min="5" max="5" width="13.88671875" customWidth="1"/>
    <col min="6" max="6" width="6.109375" customWidth="1"/>
    <col min="7" max="7" width="20.6640625" customWidth="1"/>
    <col min="8" max="8" width="10.5546875" bestFit="1" customWidth="1"/>
    <col min="11" max="11" width="9.5546875" customWidth="1"/>
    <col min="12" max="12" width="9.44140625" customWidth="1"/>
    <col min="13" max="13" width="10.109375" customWidth="1"/>
    <col min="16" max="16" width="9.33203125" customWidth="1"/>
    <col min="18" max="18" width="9.88671875" customWidth="1"/>
    <col min="19" max="19" width="9.6640625" customWidth="1"/>
  </cols>
  <sheetData>
    <row r="1" spans="1:24" x14ac:dyDescent="0.3">
      <c r="H1" s="15"/>
    </row>
    <row r="2" spans="1:24" x14ac:dyDescent="0.3">
      <c r="H2" s="15"/>
      <c r="X2" s="16" t="s">
        <v>17</v>
      </c>
    </row>
    <row r="3" spans="1:24" x14ac:dyDescent="0.3">
      <c r="A3" s="33" t="s">
        <v>15</v>
      </c>
      <c r="B3" s="33"/>
      <c r="C3" s="33"/>
      <c r="D3" s="33"/>
      <c r="E3" s="33"/>
      <c r="H3" s="33" t="s">
        <v>16</v>
      </c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</row>
    <row r="4" spans="1:24" s="3" customFormat="1" ht="30" customHeight="1" x14ac:dyDescent="0.3">
      <c r="A4" s="3" t="s">
        <v>12</v>
      </c>
      <c r="B4" s="3" t="s">
        <v>7</v>
      </c>
      <c r="C4" s="3" t="s">
        <v>0</v>
      </c>
      <c r="D4" s="3" t="s">
        <v>1</v>
      </c>
      <c r="E4" s="3" t="s">
        <v>2</v>
      </c>
      <c r="G4" s="14">
        <f>MIN(Tableau1[DATE DE DEBUT])</f>
        <v>44105</v>
      </c>
      <c r="H4" s="23">
        <f>DATE(YEAR(G4),MONTH(G4),1)</f>
        <v>44105</v>
      </c>
      <c r="I4" s="24">
        <f>EDATE(H4,1)</f>
        <v>44136</v>
      </c>
      <c r="J4" s="24">
        <f t="shared" ref="J4:V4" si="0">EDATE(I4,1)</f>
        <v>44166</v>
      </c>
      <c r="K4" s="24">
        <f t="shared" si="0"/>
        <v>44197</v>
      </c>
      <c r="L4" s="24">
        <f t="shared" si="0"/>
        <v>44228</v>
      </c>
      <c r="M4" s="24">
        <f t="shared" si="0"/>
        <v>44256</v>
      </c>
      <c r="N4" s="24">
        <f t="shared" si="0"/>
        <v>44287</v>
      </c>
      <c r="O4" s="24">
        <f t="shared" si="0"/>
        <v>44317</v>
      </c>
      <c r="P4" s="24">
        <f t="shared" si="0"/>
        <v>44348</v>
      </c>
      <c r="Q4" s="24">
        <f t="shared" si="0"/>
        <v>44378</v>
      </c>
      <c r="R4" s="24">
        <f t="shared" si="0"/>
        <v>44409</v>
      </c>
      <c r="S4" s="24">
        <f t="shared" si="0"/>
        <v>44440</v>
      </c>
      <c r="T4" s="24">
        <f t="shared" si="0"/>
        <v>44470</v>
      </c>
      <c r="U4" s="24">
        <f t="shared" si="0"/>
        <v>44501</v>
      </c>
      <c r="V4" s="24">
        <f t="shared" si="0"/>
        <v>44531</v>
      </c>
    </row>
    <row r="5" spans="1:24" x14ac:dyDescent="0.3">
      <c r="A5">
        <v>1</v>
      </c>
      <c r="B5" s="1">
        <v>6500</v>
      </c>
      <c r="C5" s="2">
        <v>44105</v>
      </c>
      <c r="D5" s="2">
        <v>44301</v>
      </c>
      <c r="E5" s="1" t="s">
        <v>4</v>
      </c>
      <c r="G5" s="4" t="s">
        <v>8</v>
      </c>
      <c r="H5" s="22">
        <f>IFERROR(SUMPRODUCT((Nb_heures_mensuelles[Année mois]=YEAR(H$4)&amp;" "&amp;MONTH(H$4))*(Nb_heures_mensuelles[Nb heures])),"")</f>
        <v>1043.7956204379561</v>
      </c>
      <c r="I5" s="22">
        <f>IFERROR(SUMPRODUCT((Nb_heures_mensuelles[Année mois]=YEAR(I$4)&amp;" "&amp;MONTH(I$4))*(Nb_heures_mensuelles[Nb heures])),"")</f>
        <v>1161.8083352955027</v>
      </c>
      <c r="J5" s="22">
        <f>IFERROR(SUMPRODUCT((Nb_heures_mensuelles[Année mois]=YEAR(J$4)&amp;" "&amp;MONTH(J$4))*(Nb_heures_mensuelles[Nb heures])),"")</f>
        <v>1469.6020720508593</v>
      </c>
      <c r="K5" s="22">
        <f>IFERROR(SUMPRODUCT((Nb_heures_mensuelles[Année mois]=YEAR(K$4)&amp;" "&amp;MONTH(K$4))*(Nb_heures_mensuelles[Nb heures])),"")</f>
        <v>1336.0018836825993</v>
      </c>
      <c r="L5" s="22">
        <f>IFERROR(SUMPRODUCT((Nb_heures_mensuelles[Année mois]=YEAR(L$4)&amp;" "&amp;MONTH(L$4))*(Nb_heures_mensuelles[Nb heures])),"")</f>
        <v>1336.0018836825993</v>
      </c>
      <c r="M5" s="22">
        <f>IFERROR(SUMPRODUCT((Nb_heures_mensuelles[Année mois]=YEAR(M$4)&amp;" "&amp;MONTH(M$4))*(Nb_heures_mensuelles[Nb heures])),"")</f>
        <v>1918.5550414103047</v>
      </c>
      <c r="N5" s="22">
        <f>IFERROR(SUMPRODUCT((Nb_heures_mensuelles[Année mois]=YEAR(N$4)&amp;" "&amp;MONTH(N$4))*(Nb_heures_mensuelles[Nb heures])),"")</f>
        <v>1501.6264677880038</v>
      </c>
      <c r="O5" s="22">
        <f>IFERROR(SUMPRODUCT((Nb_heures_mensuelles[Année mois]=YEAR(O$4)&amp;" "&amp;MONTH(O$4))*(Nb_heures_mensuelles[Nb heures])),"")</f>
        <v>929.3478260869565</v>
      </c>
      <c r="P5" s="22">
        <f>IFERROR(SUMPRODUCT((Nb_heures_mensuelles[Année mois]=YEAR(P$4)&amp;" "&amp;MONTH(P$4))*(Nb_heures_mensuelles[Nb heures])),"")</f>
        <v>1076.086956521739</v>
      </c>
      <c r="Q5" s="22">
        <f>IFERROR(SUMPRODUCT((Nb_heures_mensuelles[Année mois]=YEAR(Q$4)&amp;" "&amp;MONTH(Q$4))*(Nb_heures_mensuelles[Nb heures])),"")</f>
        <v>1027.1739130434783</v>
      </c>
      <c r="R5" s="22">
        <f>IFERROR(SUMPRODUCT((Nb_heures_mensuelles[Année mois]=YEAR(R$4)&amp;" "&amp;MONTH(R$4))*(Nb_heures_mensuelles[Nb heures])),"")</f>
        <v>0</v>
      </c>
      <c r="S5" s="22">
        <f>IFERROR(SUMPRODUCT((Nb_heures_mensuelles[Année mois]=YEAR(S$4)&amp;" "&amp;MONTH(S$4))*(Nb_heures_mensuelles[Nb heures])),"")</f>
        <v>0</v>
      </c>
      <c r="T5" s="22">
        <f>IFERROR(SUMPRODUCT((Nb_heures_mensuelles[Année mois]=YEAR(T$4)&amp;" "&amp;MONTH(T$4))*(Nb_heures_mensuelles[Nb heures])),"")</f>
        <v>0</v>
      </c>
      <c r="U5" s="22">
        <f>IFERROR(SUMPRODUCT((Nb_heures_mensuelles[Année mois]=YEAR(U$4)&amp;" "&amp;MONTH(U$4))*(Nb_heures_mensuelles[Nb heures])),"")</f>
        <v>0</v>
      </c>
      <c r="V5" s="22">
        <f>IFERROR(SUMPRODUCT((Nb_heures_mensuelles[Année mois]=YEAR(V$4)&amp;" "&amp;MONTH(V$4))*(Nb_heures_mensuelles[Nb heures])),"")</f>
        <v>0</v>
      </c>
    </row>
    <row r="6" spans="1:24" x14ac:dyDescent="0.3">
      <c r="A6">
        <v>2</v>
      </c>
      <c r="B6" s="25">
        <v>1800</v>
      </c>
      <c r="C6" s="26">
        <v>44150</v>
      </c>
      <c r="D6" s="26">
        <v>44283</v>
      </c>
      <c r="E6" s="25" t="s">
        <v>4</v>
      </c>
      <c r="G6" s="4" t="s">
        <v>13</v>
      </c>
      <c r="H6" s="5">
        <v>10</v>
      </c>
      <c r="I6" s="6">
        <v>10</v>
      </c>
      <c r="J6" s="6">
        <v>10</v>
      </c>
      <c r="K6" s="6">
        <v>10</v>
      </c>
      <c r="L6" s="6">
        <v>10</v>
      </c>
      <c r="M6" s="6">
        <v>11</v>
      </c>
      <c r="N6" s="6">
        <v>11</v>
      </c>
      <c r="O6" s="6">
        <v>11</v>
      </c>
      <c r="P6" s="6">
        <v>11</v>
      </c>
      <c r="Q6" s="6">
        <v>12</v>
      </c>
      <c r="R6" s="6">
        <v>12</v>
      </c>
      <c r="S6" s="6">
        <v>12</v>
      </c>
      <c r="T6" s="6">
        <v>12</v>
      </c>
      <c r="U6" s="6">
        <v>13</v>
      </c>
      <c r="V6" s="7">
        <v>13</v>
      </c>
    </row>
    <row r="7" spans="1:24" x14ac:dyDescent="0.3">
      <c r="A7">
        <v>3</v>
      </c>
      <c r="B7">
        <v>4500</v>
      </c>
      <c r="C7" s="15">
        <v>44274</v>
      </c>
      <c r="D7" s="15">
        <v>44408</v>
      </c>
      <c r="E7" t="s">
        <v>4</v>
      </c>
      <c r="G7" s="4" t="s">
        <v>9</v>
      </c>
      <c r="H7" s="8">
        <f>H6*$H$11</f>
        <v>1516.6999999999998</v>
      </c>
      <c r="I7" s="9">
        <f t="shared" ref="I7:V7" si="1">I6*$H$11</f>
        <v>1516.6999999999998</v>
      </c>
      <c r="J7" s="9">
        <f t="shared" si="1"/>
        <v>1516.6999999999998</v>
      </c>
      <c r="K7" s="9">
        <f t="shared" si="1"/>
        <v>1516.6999999999998</v>
      </c>
      <c r="L7" s="9">
        <f t="shared" si="1"/>
        <v>1516.6999999999998</v>
      </c>
      <c r="M7" s="9">
        <f t="shared" si="1"/>
        <v>1668.37</v>
      </c>
      <c r="N7" s="9">
        <f t="shared" si="1"/>
        <v>1668.37</v>
      </c>
      <c r="O7" s="9">
        <f t="shared" si="1"/>
        <v>1668.37</v>
      </c>
      <c r="P7" s="9">
        <f t="shared" si="1"/>
        <v>1668.37</v>
      </c>
      <c r="Q7" s="9">
        <f t="shared" si="1"/>
        <v>1820.04</v>
      </c>
      <c r="R7" s="9">
        <f t="shared" si="1"/>
        <v>1820.04</v>
      </c>
      <c r="S7" s="9">
        <f t="shared" si="1"/>
        <v>1820.04</v>
      </c>
      <c r="T7" s="9">
        <f t="shared" si="1"/>
        <v>1820.04</v>
      </c>
      <c r="U7" s="9">
        <f t="shared" si="1"/>
        <v>1971.7099999999998</v>
      </c>
      <c r="V7" s="10">
        <f t="shared" si="1"/>
        <v>1971.7099999999998</v>
      </c>
    </row>
    <row r="8" spans="1:24" x14ac:dyDescent="0.3">
      <c r="A8">
        <v>4</v>
      </c>
      <c r="B8">
        <v>5500</v>
      </c>
      <c r="C8" s="15">
        <v>44242</v>
      </c>
      <c r="D8" s="15">
        <v>44408</v>
      </c>
      <c r="E8" t="s">
        <v>14</v>
      </c>
      <c r="G8" s="4" t="s">
        <v>10</v>
      </c>
      <c r="H8" s="11">
        <f>H5/H7</f>
        <v>0.68820176728288807</v>
      </c>
      <c r="I8" s="12">
        <f t="shared" ref="I8:V8" si="2">I5/I7</f>
        <v>0.76601063842256401</v>
      </c>
      <c r="J8" s="12">
        <f t="shared" si="2"/>
        <v>0.96894710361367409</v>
      </c>
      <c r="K8" s="12">
        <f t="shared" si="2"/>
        <v>0.88086100328515826</v>
      </c>
      <c r="L8" s="12">
        <f t="shared" si="2"/>
        <v>0.88086100328515826</v>
      </c>
      <c r="M8" s="12">
        <f t="shared" si="2"/>
        <v>1.1499577680072794</v>
      </c>
      <c r="N8" s="12">
        <f t="shared" si="2"/>
        <v>0.9000560234168703</v>
      </c>
      <c r="O8" s="12">
        <f t="shared" si="2"/>
        <v>0.55703940138395958</v>
      </c>
      <c r="P8" s="12">
        <f t="shared" si="2"/>
        <v>0.64499299107616359</v>
      </c>
      <c r="Q8" s="12">
        <f t="shared" si="2"/>
        <v>0.56436886719164314</v>
      </c>
      <c r="R8" s="12">
        <f t="shared" si="2"/>
        <v>0</v>
      </c>
      <c r="S8" s="12">
        <f t="shared" si="2"/>
        <v>0</v>
      </c>
      <c r="T8" s="12">
        <f t="shared" si="2"/>
        <v>0</v>
      </c>
      <c r="U8" s="12">
        <f t="shared" si="2"/>
        <v>0</v>
      </c>
      <c r="V8" s="13">
        <f t="shared" si="2"/>
        <v>0</v>
      </c>
    </row>
    <row r="9" spans="1:24" x14ac:dyDescent="0.3">
      <c r="A9">
        <v>5</v>
      </c>
    </row>
    <row r="10" spans="1:24" x14ac:dyDescent="0.3">
      <c r="A10">
        <v>6</v>
      </c>
    </row>
    <row r="11" spans="1:24" x14ac:dyDescent="0.3">
      <c r="G11" t="s">
        <v>11</v>
      </c>
      <c r="H11">
        <v>151.66999999999999</v>
      </c>
    </row>
    <row r="14" spans="1:24" x14ac:dyDescent="0.3">
      <c r="H14" s="21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</row>
  </sheetData>
  <mergeCells count="2">
    <mergeCell ref="A3:E3"/>
    <mergeCell ref="H3:V3"/>
  </mergeCells>
  <conditionalFormatting sqref="H5:V5">
    <cfRule type="expression" dxfId="4" priority="1">
      <formula>H$5&gt;H$7</formula>
    </cfRule>
  </conditionalFormatting>
  <dataValidations count="1">
    <dataValidation type="list" allowBlank="1" showInputMessage="1" showErrorMessage="1" sqref="E5:E10" xr:uid="{3AD3E810-E3E7-4E1C-AF79-9FCD73887CC5}">
      <formula1>_Statut</formula1>
    </dataValidation>
  </dataValidations>
  <hyperlinks>
    <hyperlink ref="X2" r:id="rId1" xr:uid="{3B1099EF-F92B-4445-9050-5141CED64D70}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53147-0029-4E12-9A6F-E69DA29307F2}">
  <sheetPr codeName="Feuil2"/>
  <dimension ref="A1:F18"/>
  <sheetViews>
    <sheetView showGridLines="0" workbookViewId="0">
      <selection activeCell="H15" sqref="H15"/>
    </sheetView>
  </sheetViews>
  <sheetFormatPr baseColWidth="10" defaultRowHeight="14.4" x14ac:dyDescent="0.3"/>
  <cols>
    <col min="1" max="6" width="9.77734375" customWidth="1"/>
    <col min="7" max="8" width="13.77734375" customWidth="1"/>
    <col min="9" max="9" width="13.77734375" bestFit="1" customWidth="1"/>
  </cols>
  <sheetData>
    <row r="1" spans="1:6" s="30" customFormat="1" ht="43.2" x14ac:dyDescent="0.3">
      <c r="A1" s="31" t="s">
        <v>35</v>
      </c>
      <c r="B1" s="31" t="s">
        <v>49</v>
      </c>
      <c r="C1" s="32" t="s">
        <v>50</v>
      </c>
      <c r="D1" s="31" t="s">
        <v>43</v>
      </c>
      <c r="E1" s="32" t="s">
        <v>51</v>
      </c>
      <c r="F1" s="31" t="s">
        <v>44</v>
      </c>
    </row>
    <row r="2" spans="1:6" x14ac:dyDescent="0.3">
      <c r="A2" s="27" t="s">
        <v>36</v>
      </c>
      <c r="B2" s="28">
        <v>1</v>
      </c>
      <c r="C2">
        <v>6500</v>
      </c>
      <c r="D2" s="28">
        <v>22</v>
      </c>
      <c r="E2">
        <v>137</v>
      </c>
      <c r="F2" s="29">
        <v>1043.7956204379561</v>
      </c>
    </row>
    <row r="3" spans="1:6" x14ac:dyDescent="0.3">
      <c r="A3" s="27" t="s">
        <v>37</v>
      </c>
      <c r="B3" s="28">
        <v>1</v>
      </c>
      <c r="C3">
        <v>6500</v>
      </c>
      <c r="D3" s="28">
        <v>20</v>
      </c>
      <c r="E3">
        <v>137</v>
      </c>
      <c r="F3" s="29">
        <v>948.90510948905103</v>
      </c>
    </row>
    <row r="4" spans="1:6" x14ac:dyDescent="0.3">
      <c r="A4" s="27" t="s">
        <v>37</v>
      </c>
      <c r="B4" s="28">
        <v>2</v>
      </c>
      <c r="C4">
        <v>1800</v>
      </c>
      <c r="D4" s="28">
        <v>11</v>
      </c>
      <c r="E4">
        <v>93</v>
      </c>
      <c r="F4" s="29">
        <v>212.90322580645162</v>
      </c>
    </row>
    <row r="5" spans="1:6" x14ac:dyDescent="0.3">
      <c r="A5" s="27" t="s">
        <v>38</v>
      </c>
      <c r="B5" s="28">
        <v>1</v>
      </c>
      <c r="C5">
        <v>6500</v>
      </c>
      <c r="D5" s="28">
        <v>22</v>
      </c>
      <c r="E5">
        <v>137</v>
      </c>
      <c r="F5" s="29">
        <v>1043.7956204379561</v>
      </c>
    </row>
    <row r="6" spans="1:6" x14ac:dyDescent="0.3">
      <c r="A6" s="27" t="s">
        <v>38</v>
      </c>
      <c r="B6" s="28">
        <v>2</v>
      </c>
      <c r="C6">
        <v>1800</v>
      </c>
      <c r="D6" s="28">
        <v>22</v>
      </c>
      <c r="E6">
        <v>93</v>
      </c>
      <c r="F6" s="29">
        <v>425.80645161290323</v>
      </c>
    </row>
    <row r="7" spans="1:6" x14ac:dyDescent="0.3">
      <c r="A7" s="27" t="s">
        <v>39</v>
      </c>
      <c r="B7" s="28">
        <v>1</v>
      </c>
      <c r="C7">
        <v>6500</v>
      </c>
      <c r="D7" s="28">
        <v>20</v>
      </c>
      <c r="E7">
        <v>137</v>
      </c>
      <c r="F7" s="29">
        <v>948.90510948905103</v>
      </c>
    </row>
    <row r="8" spans="1:6" x14ac:dyDescent="0.3">
      <c r="A8" s="27" t="s">
        <v>39</v>
      </c>
      <c r="B8" s="28">
        <v>2</v>
      </c>
      <c r="C8">
        <v>1800</v>
      </c>
      <c r="D8" s="28">
        <v>20</v>
      </c>
      <c r="E8">
        <v>93</v>
      </c>
      <c r="F8" s="29">
        <v>387.09677419354841</v>
      </c>
    </row>
    <row r="9" spans="1:6" x14ac:dyDescent="0.3">
      <c r="A9" s="27" t="s">
        <v>40</v>
      </c>
      <c r="B9" s="28">
        <v>1</v>
      </c>
      <c r="C9">
        <v>6500</v>
      </c>
      <c r="D9" s="28">
        <v>20</v>
      </c>
      <c r="E9">
        <v>137</v>
      </c>
      <c r="F9" s="29">
        <v>948.90510948905103</v>
      </c>
    </row>
    <row r="10" spans="1:6" x14ac:dyDescent="0.3">
      <c r="A10" s="27" t="s">
        <v>40</v>
      </c>
      <c r="B10" s="28">
        <v>2</v>
      </c>
      <c r="C10">
        <v>1800</v>
      </c>
      <c r="D10" s="28">
        <v>20</v>
      </c>
      <c r="E10">
        <v>93</v>
      </c>
      <c r="F10" s="29">
        <v>387.09677419354841</v>
      </c>
    </row>
    <row r="11" spans="1:6" x14ac:dyDescent="0.3">
      <c r="A11" s="27" t="s">
        <v>41</v>
      </c>
      <c r="B11" s="28">
        <v>1</v>
      </c>
      <c r="C11">
        <v>6500</v>
      </c>
      <c r="D11" s="28">
        <v>23</v>
      </c>
      <c r="E11">
        <v>137</v>
      </c>
      <c r="F11" s="29">
        <v>1091.2408759124087</v>
      </c>
    </row>
    <row r="12" spans="1:6" x14ac:dyDescent="0.3">
      <c r="A12" s="27" t="s">
        <v>41</v>
      </c>
      <c r="B12" s="28">
        <v>2</v>
      </c>
      <c r="C12">
        <v>1800</v>
      </c>
      <c r="D12" s="28">
        <v>20</v>
      </c>
      <c r="E12">
        <v>93</v>
      </c>
      <c r="F12" s="29">
        <v>387.09677419354841</v>
      </c>
    </row>
    <row r="13" spans="1:6" x14ac:dyDescent="0.3">
      <c r="A13" s="27" t="s">
        <v>41</v>
      </c>
      <c r="B13" s="28">
        <v>3</v>
      </c>
      <c r="C13">
        <v>4500</v>
      </c>
      <c r="D13" s="28">
        <v>9</v>
      </c>
      <c r="E13">
        <v>92</v>
      </c>
      <c r="F13" s="29">
        <v>440.21739130434781</v>
      </c>
    </row>
    <row r="14" spans="1:6" x14ac:dyDescent="0.3">
      <c r="A14" s="27" t="s">
        <v>42</v>
      </c>
      <c r="B14" s="28">
        <v>1</v>
      </c>
      <c r="C14">
        <v>6500</v>
      </c>
      <c r="D14" s="28">
        <v>10</v>
      </c>
      <c r="E14">
        <v>137</v>
      </c>
      <c r="F14" s="29">
        <v>474.45255474452551</v>
      </c>
    </row>
    <row r="15" spans="1:6" x14ac:dyDescent="0.3">
      <c r="A15" s="27" t="s">
        <v>42</v>
      </c>
      <c r="B15" s="28">
        <v>3</v>
      </c>
      <c r="C15">
        <v>4500</v>
      </c>
      <c r="D15" s="28">
        <v>21</v>
      </c>
      <c r="E15">
        <v>92</v>
      </c>
      <c r="F15" s="29">
        <v>1027.1739130434783</v>
      </c>
    </row>
    <row r="16" spans="1:6" x14ac:dyDescent="0.3">
      <c r="A16" s="27" t="s">
        <v>46</v>
      </c>
      <c r="B16" s="28">
        <v>3</v>
      </c>
      <c r="C16">
        <v>4500</v>
      </c>
      <c r="D16" s="28">
        <v>19</v>
      </c>
      <c r="E16">
        <v>92</v>
      </c>
      <c r="F16" s="29">
        <v>929.3478260869565</v>
      </c>
    </row>
    <row r="17" spans="1:6" x14ac:dyDescent="0.3">
      <c r="A17" s="27" t="s">
        <v>47</v>
      </c>
      <c r="B17" s="28">
        <v>3</v>
      </c>
      <c r="C17">
        <v>4500</v>
      </c>
      <c r="D17" s="28">
        <v>22</v>
      </c>
      <c r="E17">
        <v>92</v>
      </c>
      <c r="F17" s="29">
        <v>1076.086956521739</v>
      </c>
    </row>
    <row r="18" spans="1:6" x14ac:dyDescent="0.3">
      <c r="A18" s="27" t="s">
        <v>48</v>
      </c>
      <c r="B18" s="28">
        <v>3</v>
      </c>
      <c r="C18">
        <v>4500</v>
      </c>
      <c r="D18" s="28">
        <v>21</v>
      </c>
      <c r="E18">
        <v>92</v>
      </c>
      <c r="F18" s="29">
        <v>1027.1739130434783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F46E03-36A6-4058-8A75-4EEA99A1AF15}">
  <sheetPr codeName="Feuil3"/>
  <dimension ref="B2:E30"/>
  <sheetViews>
    <sheetView showGridLines="0" workbookViewId="0">
      <selection activeCell="F11" sqref="F11"/>
    </sheetView>
  </sheetViews>
  <sheetFormatPr baseColWidth="10" defaultRowHeight="14.4" x14ac:dyDescent="0.3"/>
  <cols>
    <col min="1" max="1" width="4.77734375" customWidth="1"/>
    <col min="2" max="2" width="16.6640625" bestFit="1" customWidth="1"/>
    <col min="4" max="4" width="4.77734375" customWidth="1"/>
    <col min="5" max="5" width="12.5546875" bestFit="1" customWidth="1"/>
  </cols>
  <sheetData>
    <row r="2" spans="2:5" x14ac:dyDescent="0.3">
      <c r="B2" s="19" t="s">
        <v>18</v>
      </c>
      <c r="C2" s="17">
        <v>2020</v>
      </c>
    </row>
    <row r="3" spans="2:5" x14ac:dyDescent="0.3">
      <c r="B3" s="19" t="s">
        <v>34</v>
      </c>
      <c r="C3" s="17">
        <f>_Annee+1</f>
        <v>2021</v>
      </c>
    </row>
    <row r="4" spans="2:5" x14ac:dyDescent="0.3">
      <c r="B4" t="s">
        <v>19</v>
      </c>
      <c r="C4" t="s">
        <v>20</v>
      </c>
      <c r="E4" t="s">
        <v>45</v>
      </c>
    </row>
    <row r="5" spans="2:5" x14ac:dyDescent="0.3">
      <c r="B5" t="s">
        <v>21</v>
      </c>
      <c r="C5" s="15">
        <f>DATE(_Annee,1,1)</f>
        <v>43831</v>
      </c>
      <c r="E5" t="s">
        <v>4</v>
      </c>
    </row>
    <row r="6" spans="2:5" x14ac:dyDescent="0.3">
      <c r="B6" t="s">
        <v>22</v>
      </c>
      <c r="C6" s="15">
        <f>FLOOR(DAY(MINUTE(_Annee/38)/2+56)&amp;"/5/"&amp;_Annee,7)-34</f>
        <v>43933</v>
      </c>
      <c r="E6" t="s">
        <v>3</v>
      </c>
    </row>
    <row r="7" spans="2:5" x14ac:dyDescent="0.3">
      <c r="B7" t="s">
        <v>23</v>
      </c>
      <c r="C7" s="15">
        <f>C6+1</f>
        <v>43934</v>
      </c>
      <c r="E7" t="s">
        <v>5</v>
      </c>
    </row>
    <row r="8" spans="2:5" x14ac:dyDescent="0.3">
      <c r="B8" t="s">
        <v>24</v>
      </c>
      <c r="C8" s="15">
        <f>DATE(_Annee,5,1)</f>
        <v>43952</v>
      </c>
      <c r="E8" t="s">
        <v>6</v>
      </c>
    </row>
    <row r="9" spans="2:5" x14ac:dyDescent="0.3">
      <c r="B9" t="s">
        <v>25</v>
      </c>
      <c r="C9" s="15">
        <f>DATE(_Annee,5,8)</f>
        <v>43959</v>
      </c>
      <c r="E9" t="s">
        <v>14</v>
      </c>
    </row>
    <row r="10" spans="2:5" x14ac:dyDescent="0.3">
      <c r="B10" t="s">
        <v>26</v>
      </c>
      <c r="C10" s="15">
        <f>C6+39</f>
        <v>43972</v>
      </c>
    </row>
    <row r="11" spans="2:5" x14ac:dyDescent="0.3">
      <c r="B11" t="s">
        <v>27</v>
      </c>
      <c r="C11" s="15">
        <f>C6+49</f>
        <v>43982</v>
      </c>
    </row>
    <row r="12" spans="2:5" x14ac:dyDescent="0.3">
      <c r="B12" t="s">
        <v>28</v>
      </c>
      <c r="C12" s="15">
        <f>C6+50</f>
        <v>43983</v>
      </c>
    </row>
    <row r="13" spans="2:5" x14ac:dyDescent="0.3">
      <c r="B13" t="s">
        <v>29</v>
      </c>
      <c r="C13" s="15">
        <f>DATE(_Annee,7,14)</f>
        <v>44026</v>
      </c>
    </row>
    <row r="14" spans="2:5" x14ac:dyDescent="0.3">
      <c r="B14" t="s">
        <v>30</v>
      </c>
      <c r="C14" s="15">
        <f>DATE(_Annee,8,15)</f>
        <v>44058</v>
      </c>
    </row>
    <row r="15" spans="2:5" x14ac:dyDescent="0.3">
      <c r="B15" t="s">
        <v>31</v>
      </c>
      <c r="C15" s="15">
        <f>DATE(_Annee,11,1)</f>
        <v>44136</v>
      </c>
    </row>
    <row r="16" spans="2:5" x14ac:dyDescent="0.3">
      <c r="B16" t="s">
        <v>32</v>
      </c>
      <c r="C16" s="15">
        <f>DATE(_Annee,11,11)</f>
        <v>44146</v>
      </c>
    </row>
    <row r="17" spans="2:3" x14ac:dyDescent="0.3">
      <c r="B17" t="s">
        <v>33</v>
      </c>
      <c r="C17" s="15">
        <f>DATE(_Annee,12,25)</f>
        <v>44190</v>
      </c>
    </row>
    <row r="18" spans="2:3" x14ac:dyDescent="0.3">
      <c r="B18" t="s">
        <v>21</v>
      </c>
      <c r="C18" s="18">
        <f>DATE(_AnneeN1,1,1)</f>
        <v>44197</v>
      </c>
    </row>
    <row r="19" spans="2:3" x14ac:dyDescent="0.3">
      <c r="B19" t="s">
        <v>22</v>
      </c>
      <c r="C19" s="18">
        <f>FLOOR(DAY(MINUTE(_AnneeN1/38)/2+56)&amp;"/5/"&amp;_AnneeN1,7)-34</f>
        <v>44290</v>
      </c>
    </row>
    <row r="20" spans="2:3" x14ac:dyDescent="0.3">
      <c r="B20" t="s">
        <v>23</v>
      </c>
      <c r="C20" s="18">
        <f>C19+1</f>
        <v>44291</v>
      </c>
    </row>
    <row r="21" spans="2:3" x14ac:dyDescent="0.3">
      <c r="B21" t="s">
        <v>24</v>
      </c>
      <c r="C21" s="18">
        <f>DATE(_AnneeN1,5,1)</f>
        <v>44317</v>
      </c>
    </row>
    <row r="22" spans="2:3" x14ac:dyDescent="0.3">
      <c r="B22" t="s">
        <v>25</v>
      </c>
      <c r="C22" s="18">
        <f>DATE(_AnneeN1,5,8)</f>
        <v>44324</v>
      </c>
    </row>
    <row r="23" spans="2:3" x14ac:dyDescent="0.3">
      <c r="B23" t="s">
        <v>26</v>
      </c>
      <c r="C23" s="18">
        <f>C19+39</f>
        <v>44329</v>
      </c>
    </row>
    <row r="24" spans="2:3" x14ac:dyDescent="0.3">
      <c r="B24" t="s">
        <v>27</v>
      </c>
      <c r="C24" s="18">
        <f>C19+49</f>
        <v>44339</v>
      </c>
    </row>
    <row r="25" spans="2:3" x14ac:dyDescent="0.3">
      <c r="B25" t="s">
        <v>28</v>
      </c>
      <c r="C25" s="18">
        <f>C19+50</f>
        <v>44340</v>
      </c>
    </row>
    <row r="26" spans="2:3" x14ac:dyDescent="0.3">
      <c r="B26" t="s">
        <v>29</v>
      </c>
      <c r="C26" s="18">
        <f>DATE(_AnneeN1,7,14)</f>
        <v>44391</v>
      </c>
    </row>
    <row r="27" spans="2:3" x14ac:dyDescent="0.3">
      <c r="B27" t="s">
        <v>30</v>
      </c>
      <c r="C27" s="18">
        <f>DATE(_AnneeN1,8,15)</f>
        <v>44423</v>
      </c>
    </row>
    <row r="28" spans="2:3" x14ac:dyDescent="0.3">
      <c r="B28" t="s">
        <v>31</v>
      </c>
      <c r="C28" s="18">
        <f>DATE(_AnneeN1,11,1)</f>
        <v>44501</v>
      </c>
    </row>
    <row r="29" spans="2:3" x14ac:dyDescent="0.3">
      <c r="B29" t="s">
        <v>32</v>
      </c>
      <c r="C29" s="18">
        <f>DATE(_AnneeN1,11,11)</f>
        <v>44511</v>
      </c>
    </row>
    <row r="30" spans="2:3" x14ac:dyDescent="0.3">
      <c r="B30" t="s">
        <v>33</v>
      </c>
      <c r="C30" s="18">
        <f>DATE(_AnneeN1,12,25)</f>
        <v>44555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6A63A47-E0AE-4792-902C-A5B6D7C9F7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 de charge</vt:lpstr>
      <vt:lpstr>PQ</vt:lpstr>
      <vt:lpstr>Paramètres</vt:lpstr>
      <vt:lpstr>_Annee</vt:lpstr>
      <vt:lpstr>_AnneeN1</vt:lpstr>
      <vt:lpstr>_Feries</vt:lpstr>
      <vt:lpstr>_Statut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Poulard</dc:creator>
  <cp:lastModifiedBy>JoDan</cp:lastModifiedBy>
  <dcterms:created xsi:type="dcterms:W3CDTF">2015-06-05T18:19:34Z</dcterms:created>
  <dcterms:modified xsi:type="dcterms:W3CDTF">2020-10-08T22:52:38Z</dcterms:modified>
</cp:coreProperties>
</file>