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OneDrive\Formation Excel\Test\Gestion Devis et Factures\"/>
    </mc:Choice>
  </mc:AlternateContent>
  <xr:revisionPtr revIDLastSave="1" documentId="13_ncr:1_{2DFCBBE5-5D01-49CD-84C3-9256DA482507}" xr6:coauthVersionLast="45" xr6:coauthVersionMax="45" xr10:uidLastSave="{DB517EFE-5FAC-4708-B465-D5C4C51F6628}"/>
  <bookViews>
    <workbookView xWindow="-108" yWindow="-108" windowWidth="22320" windowHeight="12048" tabRatio="599" xr2:uid="{AC68AF6B-A30E-4656-8C85-854F3A26F6B5}"/>
  </bookViews>
  <sheets>
    <sheet name="Procédure" sheetId="10" r:id="rId1"/>
    <sheet name="Base client" sheetId="7" r:id="rId2"/>
    <sheet name="Liste produits" sheetId="9" r:id="rId3"/>
    <sheet name="Devis" sheetId="2" r:id="rId4"/>
    <sheet name="Récap devis" sheetId="3" r:id="rId5"/>
    <sheet name="Facture" sheetId="5" r:id="rId6"/>
    <sheet name="Facture (Suite devis)" sheetId="8" r:id="rId7"/>
    <sheet name="Récap facture" sheetId="6" r:id="rId8"/>
    <sheet name="Paramètres" sheetId="4" r:id="rId9"/>
  </sheets>
  <definedNames>
    <definedName name="_xlnm._FilterDatabase" localSheetId="4" hidden="1">'Récap devis'!$C:$C</definedName>
    <definedName name="DevClient">Devis!$E$7</definedName>
    <definedName name="DevDate">Devis!$F$3</definedName>
    <definedName name="DevisClient">T_ListeDevisClients[Client]</definedName>
    <definedName name="DevNum">Devis!$F$2</definedName>
    <definedName name="DonnéesExternes_1" localSheetId="8" hidden="1">Paramètres!$J$1:$K$2</definedName>
    <definedName name="FacClient" localSheetId="6">'Facture (Suite devis)'!$E$7</definedName>
    <definedName name="FacClient">Facture!$E$7</definedName>
    <definedName name="FacDate" localSheetId="6">'Facture (Suite devis)'!$F$3</definedName>
    <definedName name="FacDate">Facture!$F$3</definedName>
    <definedName name="FacNum" localSheetId="6">'Facture (Suite devis)'!$F$2</definedName>
    <definedName name="FacNum">Facture!$F$2</definedName>
    <definedName name="L_Civilite" localSheetId="6">T_Civilite[Civilité]</definedName>
    <definedName name="L_Civilite">T_Civilite[Civilité]</definedName>
    <definedName name="L_Clients" localSheetId="6">T_Clients[Client]</definedName>
    <definedName name="L_Clients">T_Clients[Client]</definedName>
    <definedName name="L_numdev">T_ListeDevisClients[N° Devis]</definedName>
    <definedName name="L_Produits" localSheetId="6">T_Produits[Produits]</definedName>
    <definedName name="L_Produits">T_Produits[Produits]</definedName>
    <definedName name="L_Reglement" localSheetId="6">T_Reglement[Mode règlement]</definedName>
    <definedName name="L_Reglement">T_Reglement[Mode règlement]</definedName>
    <definedName name="L_TVA" localSheetId="5">T_TVA[TVA]</definedName>
    <definedName name="L_TVA" localSheetId="6">T_TVA[TVA]</definedName>
    <definedName name="L_TVA">T_TVA[TVA]</definedName>
    <definedName name="NumDevis">Paramètres!$F$2</definedName>
    <definedName name="NumFac">Paramètres!$F$3</definedName>
    <definedName name="_xlnm.Print_Area" localSheetId="3">Devis!$A$1:$H$54</definedName>
    <definedName name="_xlnm.Print_Area" localSheetId="5">Facture!$A$1:$H$54</definedName>
    <definedName name="_xlnm.Print_Area" localSheetId="6">'Facture (Suite devis)'!$A$1:$H$55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6" i="2" l="1" a="1"/>
  <c r="F36" i="2" s="1"/>
  <c r="F37" i="2" s="1" a="1"/>
  <c r="F37" i="2" s="1"/>
  <c r="F36" i="5" a="1"/>
  <c r="F36" i="5" s="1"/>
  <c r="F37" i="5" s="1" a="1"/>
  <c r="F37" i="5" s="1"/>
  <c r="C32" i="2" l="1"/>
  <c r="C33" i="2"/>
  <c r="B4" i="9" l="1"/>
  <c r="A4" i="9"/>
  <c r="D2" i="9" a="1"/>
  <c r="D2" i="9" l="1"/>
  <c r="B4" i="6"/>
  <c r="C4" i="6"/>
  <c r="D4" i="6"/>
  <c r="E4" i="6"/>
  <c r="F4" i="6"/>
  <c r="G4" i="6"/>
  <c r="H4" i="6"/>
  <c r="I4" i="6"/>
  <c r="A4" i="6"/>
  <c r="E7" i="8"/>
  <c r="C41" i="8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4" i="3"/>
  <c r="C4" i="3"/>
  <c r="D4" i="3"/>
  <c r="E4" i="3"/>
  <c r="F4" i="3"/>
  <c r="G4" i="3"/>
  <c r="H4" i="3"/>
  <c r="I4" i="3"/>
  <c r="J4" i="3"/>
  <c r="K4" i="3"/>
  <c r="A4" i="3"/>
  <c r="G2" i="6" a="1"/>
  <c r="I2" i="3" a="1"/>
  <c r="C14" i="8" l="1"/>
  <c r="G14" i="8"/>
  <c r="F36" i="8" s="1" a="1"/>
  <c r="F36" i="8" s="1"/>
  <c r="G18" i="8"/>
  <c r="G22" i="8"/>
  <c r="G26" i="8"/>
  <c r="G15" i="8"/>
  <c r="G19" i="8"/>
  <c r="G23" i="8"/>
  <c r="G27" i="8"/>
  <c r="G17" i="8"/>
  <c r="G25" i="8"/>
  <c r="G16" i="8"/>
  <c r="G20" i="8"/>
  <c r="G24" i="8"/>
  <c r="G28" i="8"/>
  <c r="G21" i="8"/>
  <c r="G29" i="8"/>
  <c r="G2" i="6"/>
  <c r="I2" i="3"/>
  <c r="B4" i="7"/>
  <c r="C4" i="7"/>
  <c r="D4" i="7"/>
  <c r="E4" i="7"/>
  <c r="F4" i="7"/>
  <c r="G4" i="7"/>
  <c r="H4" i="7"/>
  <c r="I4" i="7"/>
  <c r="J4" i="7"/>
  <c r="K4" i="7"/>
  <c r="A4" i="7"/>
  <c r="L13" i="8" l="1"/>
  <c r="L19" i="8" l="1"/>
  <c r="C42" i="8" l="1"/>
  <c r="G41" i="8"/>
  <c r="C32" i="8"/>
  <c r="K20" i="8"/>
  <c r="F3" i="8"/>
  <c r="F2" i="8" s="1"/>
  <c r="L16" i="5"/>
  <c r="L15" i="5"/>
  <c r="L14" i="5"/>
  <c r="L13" i="5"/>
  <c r="L16" i="2"/>
  <c r="L15" i="2"/>
  <c r="L14" i="2"/>
  <c r="L13" i="2"/>
  <c r="D17" i="8" l="1"/>
  <c r="D21" i="8"/>
  <c r="D25" i="8"/>
  <c r="D29" i="8"/>
  <c r="D18" i="8"/>
  <c r="D22" i="8"/>
  <c r="D26" i="8"/>
  <c r="D15" i="8"/>
  <c r="D19" i="8"/>
  <c r="D23" i="8"/>
  <c r="D14" i="8"/>
  <c r="D27" i="8"/>
  <c r="D16" i="8"/>
  <c r="D20" i="8"/>
  <c r="D24" i="8"/>
  <c r="D28" i="8"/>
  <c r="C17" i="8"/>
  <c r="C19" i="8"/>
  <c r="C23" i="8"/>
  <c r="C27" i="8"/>
  <c r="C15" i="8"/>
  <c r="C20" i="8"/>
  <c r="C24" i="8"/>
  <c r="C28" i="8"/>
  <c r="C16" i="8"/>
  <c r="C25" i="8"/>
  <c r="C29" i="8"/>
  <c r="C18" i="8"/>
  <c r="C22" i="8"/>
  <c r="C26" i="8"/>
  <c r="C21" i="8"/>
  <c r="F37" i="8" a="1"/>
  <c r="F37" i="8" s="1"/>
  <c r="C33" i="8" s="1"/>
  <c r="L19" i="5"/>
  <c r="K20" i="5" s="1"/>
  <c r="F3" i="2"/>
  <c r="L16" i="8" l="1"/>
  <c r="L15" i="8"/>
  <c r="L14" i="8"/>
  <c r="E23" i="8"/>
  <c r="B23" i="8"/>
  <c r="F23" i="8" s="1"/>
  <c r="E29" i="8"/>
  <c r="B29" i="8"/>
  <c r="F29" i="8" s="1"/>
  <c r="E15" i="8"/>
  <c r="B15" i="8"/>
  <c r="E26" i="8"/>
  <c r="B26" i="8"/>
  <c r="F26" i="8" s="1"/>
  <c r="B27" i="8"/>
  <c r="F27" i="8" s="1"/>
  <c r="E27" i="8"/>
  <c r="E25" i="8"/>
  <c r="B25" i="8"/>
  <c r="F25" i="8" s="1"/>
  <c r="E24" i="8"/>
  <c r="B24" i="8"/>
  <c r="F24" i="8" s="1"/>
  <c r="E14" i="8"/>
  <c r="B14" i="8"/>
  <c r="E28" i="8"/>
  <c r="B28" i="8"/>
  <c r="F28" i="8" s="1"/>
  <c r="E22" i="8"/>
  <c r="B22" i="8"/>
  <c r="F22" i="8" s="1"/>
  <c r="E19" i="8"/>
  <c r="B19" i="8"/>
  <c r="F19" i="8" s="1"/>
  <c r="E21" i="8"/>
  <c r="B21" i="8"/>
  <c r="F21" i="8" s="1"/>
  <c r="E20" i="8"/>
  <c r="B20" i="8"/>
  <c r="F20" i="8" s="1"/>
  <c r="E18" i="8"/>
  <c r="B18" i="8"/>
  <c r="F18" i="8" s="1"/>
  <c r="E17" i="8"/>
  <c r="B17" i="8"/>
  <c r="E16" i="8"/>
  <c r="B16" i="8"/>
  <c r="L19" i="2"/>
  <c r="K20" i="2" s="1"/>
  <c r="F14" i="8" l="1"/>
  <c r="F15" i="8"/>
  <c r="D33" i="8" s="1"/>
  <c r="E33" i="8" s="1"/>
  <c r="F16" i="8"/>
  <c r="D32" i="8"/>
  <c r="E32" i="8" s="1"/>
  <c r="F17" i="8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G37" i="8" l="1"/>
  <c r="G35" i="8"/>
  <c r="G36" i="8"/>
  <c r="F14" i="2"/>
  <c r="D32" i="2" s="1"/>
  <c r="E32" i="2" l="1"/>
  <c r="G36" i="2" s="1"/>
  <c r="F33" i="8"/>
  <c r="L4" i="7"/>
  <c r="E9" i="8"/>
  <c r="E8" i="2"/>
  <c r="E8" i="5"/>
  <c r="E8" i="8"/>
  <c r="E11" i="2"/>
  <c r="E11" i="5"/>
  <c r="E11" i="8"/>
  <c r="E10" i="2"/>
  <c r="E10" i="5"/>
  <c r="E10" i="8"/>
  <c r="E9" i="2"/>
  <c r="E9" i="5"/>
  <c r="G38" i="8"/>
  <c r="B36" i="8" s="1"/>
  <c r="F32" i="8"/>
  <c r="C33" i="5"/>
  <c r="C32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3" i="5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2" i="2"/>
  <c r="I2" i="7" a="1"/>
  <c r="D33" i="5" l="1"/>
  <c r="E33" i="5" s="1"/>
  <c r="G37" i="5" s="1"/>
  <c r="D33" i="2"/>
  <c r="E33" i="2" s="1"/>
  <c r="F2" i="5"/>
  <c r="I2" i="7"/>
  <c r="L17" i="8"/>
  <c r="G42" i="8"/>
  <c r="B38" i="8"/>
  <c r="G35" i="5"/>
  <c r="D32" i="5"/>
  <c r="G35" i="2"/>
  <c r="E32" i="5" l="1"/>
  <c r="G36" i="5" s="1"/>
  <c r="G38" i="5" s="1"/>
  <c r="F33" i="5"/>
  <c r="G37" i="2"/>
  <c r="F32" i="5" l="1"/>
  <c r="L17" i="5" s="1"/>
  <c r="G41" i="5"/>
  <c r="B36" i="5"/>
  <c r="B38" i="5"/>
  <c r="F33" i="2"/>
  <c r="G38" i="2" l="1"/>
  <c r="F32" i="2"/>
  <c r="B38" i="2" l="1"/>
  <c r="B36" i="2"/>
  <c r="L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285752-09A0-42BA-925A-AFDD62645561}" keepAlive="1" name="Requête - T_RecapDevis" description="Connexion à la requête « T_RecapDevis » dans le classeur." type="5" refreshedVersion="6" background="1" saveData="1">
    <dbPr connection="Provider=Microsoft.Mashup.OleDb.1;Data Source=$Workbook$;Location=T_RecapDevis;Extended Properties=&quot;&quot;" command="SELECT * FROM [T_RecapDevis]"/>
  </connection>
</connections>
</file>

<file path=xl/sharedStrings.xml><?xml version="1.0" encoding="utf-8"?>
<sst xmlns="http://schemas.openxmlformats.org/spreadsheetml/2006/main" count="551" uniqueCount="289">
  <si>
    <t>Code</t>
  </si>
  <si>
    <t>Désignation</t>
  </si>
  <si>
    <t>Quantité</t>
  </si>
  <si>
    <t>PU</t>
  </si>
  <si>
    <t>Total</t>
  </si>
  <si>
    <t>Total HT</t>
  </si>
  <si>
    <t>TVA 20,00%</t>
  </si>
  <si>
    <t>Total TTC</t>
  </si>
  <si>
    <t xml:space="preserve">Condition de paiement : </t>
  </si>
  <si>
    <t>Facture n° :</t>
  </si>
  <si>
    <t xml:space="preserve">SIREN : </t>
  </si>
  <si>
    <t xml:space="preserve">Code APE </t>
  </si>
  <si>
    <t xml:space="preserve">TVA Intracommunautaire : </t>
  </si>
  <si>
    <t>La solde à la livraison.</t>
  </si>
  <si>
    <t>Devis n° :</t>
  </si>
  <si>
    <t>Devis valable 2 mois</t>
  </si>
  <si>
    <t>Pour l'Entreprise :</t>
  </si>
  <si>
    <t>Pour le client :</t>
  </si>
  <si>
    <t xml:space="preserve">A : </t>
  </si>
  <si>
    <t xml:space="preserve">Le, </t>
  </si>
  <si>
    <t>Merci de nous retourner un exemplaire de ce devis signé avec votre nom et revêtu de la mention
"Bon pour accord et commande" accompagné du règlement de l'acompte.</t>
  </si>
  <si>
    <t>Date</t>
  </si>
  <si>
    <t>Client</t>
  </si>
  <si>
    <t>Prix unitaire</t>
  </si>
  <si>
    <t>TVA</t>
  </si>
  <si>
    <t>N° Devis</t>
  </si>
  <si>
    <t>TVA 5,50%</t>
  </si>
  <si>
    <t>TVA 10,00%</t>
  </si>
  <si>
    <t>Base TVA</t>
  </si>
  <si>
    <t>HT</t>
  </si>
  <si>
    <t>TTC</t>
  </si>
  <si>
    <t>Acompte versé</t>
  </si>
  <si>
    <t>Net à payer</t>
  </si>
  <si>
    <t>Devis n°</t>
  </si>
  <si>
    <t>du</t>
  </si>
  <si>
    <t>Civilité</t>
  </si>
  <si>
    <t>Madame</t>
  </si>
  <si>
    <t>Monsieur</t>
  </si>
  <si>
    <t>N° Facture</t>
  </si>
  <si>
    <t>Acompte</t>
  </si>
  <si>
    <t>Nom</t>
  </si>
  <si>
    <t>Prénom</t>
  </si>
  <si>
    <t>Adresse1</t>
  </si>
  <si>
    <t>Adresse2</t>
  </si>
  <si>
    <t>Adresse3</t>
  </si>
  <si>
    <t>CP</t>
  </si>
  <si>
    <t>Ville</t>
  </si>
  <si>
    <t>Téléphone</t>
  </si>
  <si>
    <t>Mail</t>
  </si>
  <si>
    <t xml:space="preserve">SAS </t>
  </si>
  <si>
    <t xml:space="preserve">Rue </t>
  </si>
  <si>
    <t xml:space="preserve">       01 02 03 04 05</t>
  </si>
  <si>
    <t xml:space="preserve">       contact-sas@gmail.com</t>
  </si>
  <si>
    <t>Ville, le</t>
  </si>
  <si>
    <t>Rue</t>
  </si>
  <si>
    <t>CP  VILLE</t>
  </si>
  <si>
    <t>CP VILLE</t>
  </si>
  <si>
    <t>Chrono</t>
  </si>
  <si>
    <t>Devis</t>
  </si>
  <si>
    <t>Facture</t>
  </si>
  <si>
    <t>N°</t>
  </si>
  <si>
    <t>Produits</t>
  </si>
  <si>
    <t>Vérification</t>
  </si>
  <si>
    <t>vérif numérotation</t>
  </si>
  <si>
    <t>Num devis</t>
  </si>
  <si>
    <t xml:space="preserve">   A : </t>
  </si>
  <si>
    <t>Date règlement</t>
  </si>
  <si>
    <t>Mode règlement</t>
  </si>
  <si>
    <t>Chèque</t>
  </si>
  <si>
    <t>Virement</t>
  </si>
  <si>
    <t>Espèces</t>
  </si>
  <si>
    <t>Carte bleue</t>
  </si>
  <si>
    <t>Nb occurrence</t>
  </si>
  <si>
    <t>Facture établie suivant :</t>
  </si>
  <si>
    <t>Code, Nom ou Prénom</t>
  </si>
  <si>
    <t>Source :</t>
  </si>
  <si>
    <t>https://www.youtube.com/watch?v=lEoV-ibiE7w</t>
  </si>
  <si>
    <t>Date, N° Devis ou Client</t>
  </si>
  <si>
    <t xml:space="preserve"> </t>
  </si>
  <si>
    <t>Devis N° :</t>
  </si>
  <si>
    <t>Date, N° facture ou Client</t>
  </si>
  <si>
    <t>Num facture</t>
  </si>
  <si>
    <t>Dépannage informatique</t>
  </si>
  <si>
    <t>Dépannage à distance</t>
  </si>
  <si>
    <t>Diagnostic</t>
  </si>
  <si>
    <t>Suppression des virus</t>
  </si>
  <si>
    <t>Sauvegarde de données</t>
  </si>
  <si>
    <t>Récupération de données</t>
  </si>
  <si>
    <t>Frais de déplacement</t>
  </si>
  <si>
    <t>Installation de Windows</t>
  </si>
  <si>
    <t>Installation d'internet</t>
  </si>
  <si>
    <t>Formation de 1 heure</t>
  </si>
  <si>
    <t>Formation de 2 heures</t>
  </si>
  <si>
    <t>Formation de 3 heures</t>
  </si>
  <si>
    <t>Formation de 4 heures</t>
  </si>
  <si>
    <t>Formation de 5 heures</t>
  </si>
  <si>
    <t>Formation de 10 heures</t>
  </si>
  <si>
    <t>Formation de 15 heures</t>
  </si>
  <si>
    <t>Formation de 20 heures</t>
  </si>
  <si>
    <t>Clé USB 4 Go</t>
  </si>
  <si>
    <t>Clé USB 8 Go</t>
  </si>
  <si>
    <t>Clé USB 16 Go</t>
  </si>
  <si>
    <t>Clé USB 32 Go</t>
  </si>
  <si>
    <t>Clé USB 128 Go</t>
  </si>
  <si>
    <t>Disque dur externe 500 Go</t>
  </si>
  <si>
    <t>Disque dur externe 1 000 Go</t>
  </si>
  <si>
    <t>Disque dur externe 2 000 Go</t>
  </si>
  <si>
    <t>Disque SSD 240 GO</t>
  </si>
  <si>
    <t>Disque SSD 500 Go</t>
  </si>
  <si>
    <t>Code ou Produit</t>
  </si>
  <si>
    <t>Nas 4 baies</t>
  </si>
  <si>
    <t>Base client</t>
  </si>
  <si>
    <t>Saisie client pour saisir les nouveaux clients</t>
  </si>
  <si>
    <t>Recherche des clients existants pour modification</t>
  </si>
  <si>
    <t>Liste produits</t>
  </si>
  <si>
    <t>Saisie produit pour saisir de nouveaux produits</t>
  </si>
  <si>
    <t>Recherche des produits existants pour modification</t>
  </si>
  <si>
    <t>Saisie</t>
  </si>
  <si>
    <t>Impression</t>
  </si>
  <si>
    <t>Enregistrement en PDF</t>
  </si>
  <si>
    <t>C:\Users\JoDan\OneDrive\Formation Excel\Test\Gestion Devis et Factures\Facture\ &amp; DossierAnnee &amp; "\" &amp; nomDossier &amp; "\"</t>
  </si>
  <si>
    <t xml:space="preserve">chemin du dossier à modifier dans ModuleDevis dans la macro EnregistrementDevis à la place de : </t>
  </si>
  <si>
    <t>Archivage dans la feuille Récap devis</t>
  </si>
  <si>
    <t>Affichage du récap</t>
  </si>
  <si>
    <t>Récap devis</t>
  </si>
  <si>
    <t>Liste des devis</t>
  </si>
  <si>
    <t>Recherche d'un devis par date, n° de devis ou client</t>
  </si>
  <si>
    <t xml:space="preserve">chemin du dossier à modifier dans ModuleFacture dans la macro EnregistrementFacture à la place de : </t>
  </si>
  <si>
    <t>Archivage dans la feuille Récap facture</t>
  </si>
  <si>
    <t>Vérification des champs à remplir avant validation en K13 à L17</t>
  </si>
  <si>
    <t>Création de la facture suite à l'acceptation d'un devis</t>
  </si>
  <si>
    <t xml:space="preserve">chemin du dossier à modifier dans ModuleFactureDevis dans la macro EnregistrementFacture_Dev à la place de : </t>
  </si>
  <si>
    <t>Récap facture</t>
  </si>
  <si>
    <t>Liste des facture</t>
  </si>
  <si>
    <t>Recherche d'une facture par date, n° de facture ou client</t>
  </si>
  <si>
    <t>Accès à la saisie d'une facture suite à un devis</t>
  </si>
  <si>
    <t>Accès à la saisie d'un devis</t>
  </si>
  <si>
    <t>Accès à la création de la facture</t>
  </si>
  <si>
    <t>Accès à la saisie d'une nouvelle facture</t>
  </si>
  <si>
    <t>Paramètres</t>
  </si>
  <si>
    <t>Liste des taux de TVA</t>
  </si>
  <si>
    <t>N° de chrono des devis</t>
  </si>
  <si>
    <t>N° de chrono des factures</t>
  </si>
  <si>
    <t>'On incrémente le numéro de facture</t>
  </si>
  <si>
    <t xml:space="preserve">        Sheets("Paramètres").Range("numdevis").Value = Sheets("Paramètres").Range("numdevis").Value + 1</t>
  </si>
  <si>
    <t>Mise à jour dans la macro ArchiverDevis + formule dans la feuille Devis en F2 =GAUCHE(E2;1)&amp;ANNEE(F3)&amp;TEXTE(NumDevis;"000")</t>
  </si>
  <si>
    <t>Mise à jour dans la macro ArchiverFacture + formule dans la feuille Facture en F2 =GAUCHE(E2;1)&amp;ANNEE(FacDate)&amp;TEXTE(NumFac;"000")</t>
  </si>
  <si>
    <t xml:space="preserve">        Sheets("Paramètres").Range("numfac").Value = Sheets("Paramètres").Range("numfac").Value + 1</t>
  </si>
  <si>
    <t>On incrémente le numéro de devis</t>
  </si>
  <si>
    <t>Liste des civilités</t>
  </si>
  <si>
    <t>Liste des modes de règlements</t>
  </si>
  <si>
    <t>Liste des numéros de devis</t>
  </si>
  <si>
    <t>Alimentée par une requête T_RecapDevis, actualisée par la macro lancée à l'activation de la feuille Facture (Suite devis)</t>
  </si>
  <si>
    <t>Private Sub Worksheet_Activate()</t>
  </si>
  <si>
    <t xml:space="preserve">    ActiveWorkbook.Connections("Requête - T_RecapDevis").Refresh</t>
  </si>
  <si>
    <t xml:space="preserve">    Range("F5").Select</t>
  </si>
  <si>
    <t>End Sub</t>
  </si>
  <si>
    <t>Installer les fichiers dans le dossier voulu sur votre ordinateur.</t>
  </si>
  <si>
    <t>Créer un dossier par année par recopie du dossier modèle</t>
  </si>
  <si>
    <t>Noter le chemin pour la modification des macro aux étapes Devis et Facture</t>
  </si>
  <si>
    <t>=OU($A7=$D$2;$C7=$D$2;$D7=$D$2;$H7=$D$2;$I7=$D$2)</t>
  </si>
  <si>
    <t>=$A$7:$L$7</t>
  </si>
  <si>
    <t>Italique, fond : Or, accentuation 4, Plus clair 40%, Police : Bleu foncé</t>
  </si>
  <si>
    <t>=OU($A7=$B$2;$B7=$B$2)</t>
  </si>
  <si>
    <t>=$A$7:$C$34</t>
  </si>
  <si>
    <t>=L13="NOK"</t>
  </si>
  <si>
    <t>=$L$13:$L$17;$L$19</t>
  </si>
  <si>
    <t>Italique, Police : Orange, Accentuation 2, Plus clair 60%</t>
  </si>
  <si>
    <t>=L13="OK"</t>
  </si>
  <si>
    <t>Italique, Police : vert, Accentuation 6, Plus clair 80%</t>
  </si>
  <si>
    <t>Liste des MFC</t>
  </si>
  <si>
    <t>=OU($A7=$D$2;$B7=$D$2;$C7=$D$2)</t>
  </si>
  <si>
    <t>=$A$7:$K$7</t>
  </si>
  <si>
    <t>Facture (Suite devis)</t>
  </si>
  <si>
    <t>=$A$7:$I$7</t>
  </si>
  <si>
    <t>Liste des validations</t>
  </si>
  <si>
    <t>E7</t>
  </si>
  <si>
    <t>L_Clients</t>
  </si>
  <si>
    <t>C14:C29</t>
  </si>
  <si>
    <t>L_Produits</t>
  </si>
  <si>
    <t>G14:G29</t>
  </si>
  <si>
    <t>L_TVA</t>
  </si>
  <si>
    <t>F36:F37</t>
  </si>
  <si>
    <t>L_numdev</t>
  </si>
  <si>
    <t>F5</t>
  </si>
  <si>
    <t>=SIERREUR(LIEN_HYPERTEXTE("#"&amp;ADRESSE(INDIRECT(ADRESSE(4;EQUIV(1;(A4:L4&gt;0)*1;0)));EQUIV(1;(A4:L4&gt;0)*1;0));"Chercher client");"Chercher client")</t>
  </si>
  <si>
    <t>=EQUIV($D$2;T_Clients[Code];0)+6</t>
  </si>
  <si>
    <t>Formule à tirer de A4 à L4, permet de vérifier si l'élément cherché se trouve dans la colonne (Source : https://www.youtube.com/watch?v=lEoV-ibiE7w)</t>
  </si>
  <si>
    <t>=SIERREUR(LIEN_HYPERTEXTE("#"&amp;ADRESSE(INDIRECT(ADRESSE(4;EQUIV(1;(A4:B4&gt;0)*1;0)));EQUIV(1;(A4:B4&gt;0)*1;0));"Chercher produit");"Chercher produit")</t>
  </si>
  <si>
    <t>=EQUIV($B$2;T_Produits[Code];0)+6</t>
  </si>
  <si>
    <t>Formule à tirer de A4 à B4, permet de vérifier si l'élément cherché se trouve dans la colonne (Source : https://www.youtube.com/watch?v=lEoV-ibiE7w)</t>
  </si>
  <si>
    <t>=GAUCHE(E2;1)&amp;ANNEE(F3)&amp;TEXTE(NumDevis;"000")</t>
  </si>
  <si>
    <t>=AUJOURDHUI()</t>
  </si>
  <si>
    <t>=SIERREUR(INDEX(T_Clients[Adresse1];EQUIV(DevClient;T_Clients[Client];0));"")</t>
  </si>
  <si>
    <t>E8 à E11 permet de récupérer l'adresse, sa suite, le code postal et la ville</t>
  </si>
  <si>
    <t>=SIERREUR(INDEX(T_Clients[Adresse2];EQUIV(DevClient;T_Clients[Client];0));"")</t>
  </si>
  <si>
    <t>=SIERREUR(INDEX(T_Clients[Adresse3];EQUIV(DevClient;T_Clients[Client];0));"")</t>
  </si>
  <si>
    <t>=SIERREUR(INDEX(T_Clients[CP];EQUIV(DevClient;T_Clients[Client];0));"")&amp;" "&amp;SIERREUR(INDEX(T_Clients[Ville];EQUIV(DevClient;T_Clients[Client];0));"")</t>
  </si>
  <si>
    <t>=SIERREUR(INDEX(T_Produits[Code];EQUIV(T_Devis[@Désignation];T_Produits[Produits];0));"")</t>
  </si>
  <si>
    <t>B14 à B29 permet de récupérer le code du produit</t>
  </si>
  <si>
    <t>=SIERREUR(INDEX(T_Produits[PU];EQUIV([@Désignation];T_Produits[Produits];0));"")</t>
  </si>
  <si>
    <t>E14 à E29 permet de récupérer le prix unitaire du produit</t>
  </si>
  <si>
    <t>=SI([@Code]&lt;&gt;"";[@Quantité]*[@PU];"")</t>
  </si>
  <si>
    <t>=SI(F36&lt;&gt;"";F36;"")</t>
  </si>
  <si>
    <t>=SI(F37&lt;&gt;"";F37;"")</t>
  </si>
  <si>
    <t>=SI(C32&lt;&gt;"";SOMME.SI(T_Devis[TVA];C32;T_Devis[Total]);"")</t>
  </si>
  <si>
    <t>=SI(C33&lt;&gt;"";SOMME.SI(T_Devis[TVA];C33;T_Devis[Total]);"")</t>
  </si>
  <si>
    <t>=SI(C32&lt;&gt;"";D32*DROITE(C32;NBCAR(C32)-4);"")</t>
  </si>
  <si>
    <t>=SI(C33&lt;&gt;"";D33*DROITE(C33;NBCAR(C33)-4);"")</t>
  </si>
  <si>
    <t>=SIERREUR(D32+E32;"")</t>
  </si>
  <si>
    <t>=SIERREUR(D33+E33;"")</t>
  </si>
  <si>
    <t>=SOMME(T_Devis[Total])</t>
  </si>
  <si>
    <t>G35 calcule le montant HT de la facture</t>
  </si>
  <si>
    <t>F14 à F29 calcule le prix total du produit</t>
  </si>
  <si>
    <t>C32 et C33 récupèrent le ou les taux de TVA à appliquer</t>
  </si>
  <si>
    <t>D32 et D33 calculent le ou les HT en fonction des taux de TVA en C32 et C33</t>
  </si>
  <si>
    <t>E32 et E33 calculent la TVA sur D32 et D33 en fonction de C32 et C33</t>
  </si>
  <si>
    <t>F32 et F33 calculent le TTC</t>
  </si>
  <si>
    <t>I2 (formule matricielle à valider par CTRL + MAJ + ENTREE)</t>
  </si>
  <si>
    <t>D2 (formule matricielle à valider par CTRL + MAJ + ENTREE)</t>
  </si>
  <si>
    <t>F3 affiche la date du jour</t>
  </si>
  <si>
    <t>="Acompte de 30% à la commande soit : "&amp;TEXTE(G38*30%;"# ##0,00€")</t>
  </si>
  <si>
    <t>B36 calcul de l'acompte de 30%</t>
  </si>
  <si>
    <t>B38 calcul le solde de 70% à régler</t>
  </si>
  <si>
    <t>="Paiement comptant à la réception du chantier soit : "&amp;TEXTE(G38*70%;"# ##0,00€")</t>
  </si>
  <si>
    <t>=SI(E32&lt;&gt;0;E32;0)</t>
  </si>
  <si>
    <t>G36 et G37 récupèrent le ou les montant(s) de la TVA en E32 et E33</t>
  </si>
  <si>
    <t>=SI(E33&lt;&gt;0;E33;0)</t>
  </si>
  <si>
    <t>G38 total TTC de la facture</t>
  </si>
  <si>
    <t>=SOMME(G35:G37)</t>
  </si>
  <si>
    <t>=SIERREUR(LIEN_HYPERTEXTE("#"&amp;ADRESSE(INDIRECT(ADRESSE(4;EQUIV(1;(A4:L4&gt;0)*1;0)));EQUIV(1;(A4:L4&gt;0)*1;0));"Chercher devis");"Chercher devis")</t>
  </si>
  <si>
    <t>=EQUIV($D$2;T_RecapDevis[Date];0)+6</t>
  </si>
  <si>
    <t>Formule à tirer de A4 à K4, permet de vérifier si l'élément cherché se trouve dans la colonne (Source : https://www.youtube.com/watch?v=lEoV-ibiE7w)</t>
  </si>
  <si>
    <t>Colonne L du tableau, concaténation de la civilité du nom et du prénom</t>
  </si>
  <si>
    <t>=[@Civilité]&amp;" "&amp;[@Nom]&amp;" "&amp;[@Prénom]</t>
  </si>
  <si>
    <t>Les colonnes I, J et K sont à remplir manuellement si versement d'un acompte</t>
  </si>
  <si>
    <t>=SIERREUR(DROITE([@[N° Devis]];1)*1;"")</t>
  </si>
  <si>
    <t>Colonne L récupération des 3 derniers chiffres du numéro de devis pour vérification de la numérotation entre le prochain devis et le numéro de chrono</t>
  </si>
  <si>
    <t>Colonne M calcul du nombre de ligne pour la facturation suite au devis</t>
  </si>
  <si>
    <t>Si le devis commence à  la ligne 10 il faut $B$7:B10 et non $B$7:B15 (par exemple), parfois le calcul se fait, par erreur, jusqu’à la dernière ligne du tableau.</t>
  </si>
  <si>
    <t>F2 construit le numéro de la facture à partir de la première lettre en E2 + l'année de la date de la facture + le numéro de chrono de la feuille Paramètres</t>
  </si>
  <si>
    <t>F2 construit le numéro du devis à partir de la première lettre en E2 + l'année de la date du devis + le numéro de chrono de la feuille Paramètres</t>
  </si>
  <si>
    <t>=GAUCHE(E2;1)&amp;ANNEE(FacDate)&amp;TEXTE(NumFac;"000")</t>
  </si>
  <si>
    <t>=SIERREUR(INDEX(T_Clients[Adresse1];EQUIV(E7;T_Clients[Client];0));"")</t>
  </si>
  <si>
    <t>=SIERREUR(INDEX(T_Clients[Adresse2];EQUIV(E7;T_Clients[Client];0));"")</t>
  </si>
  <si>
    <t>=SIERREUR(INDEX(T_Clients[Adresse3];EQUIV(E7;T_Clients[Client];0));"")</t>
  </si>
  <si>
    <t>=SIERREUR(INDEX(T_Clients[CP];EQUIV(E7;T_Clients[Client];0));"")&amp;" "&amp;SIERREUR(INDEX(T_Clients[Ville];EQUIV(E7;T_Clients[Client];0));"")</t>
  </si>
  <si>
    <t>=SIERREUR(INDEX(T_Produits[Code];EQUIV([@Désignation];T_Produits[Produits];0));"")</t>
  </si>
  <si>
    <t>=SI(C32&lt;&gt;"";SOMME.SI(T_Facture[TVA];C32;Facture[Total]);"")</t>
  </si>
  <si>
    <t>=SI(C33&lt;&gt;"";SOMME.SI(T_Facture[TVA];C33;T_Facture[Total]);"")</t>
  </si>
  <si>
    <t>=SOMME(T_Facture[Total])</t>
  </si>
  <si>
    <t>G35 calcule le montant HT du devis</t>
  </si>
  <si>
    <t>G38 total TTC du devis</t>
  </si>
  <si>
    <t>G40 saisir le montant de l'acompte versé</t>
  </si>
  <si>
    <t>G41 calcul du montant à payer</t>
  </si>
  <si>
    <t>=G38-G40</t>
  </si>
  <si>
    <t>E7 à E11 permet de récupérer le nom, l'adresse, sa suite, le code postal et la ville</t>
  </si>
  <si>
    <t>=SIERREUR(INDEX(T_ListeDevisClients[Client];EQUIV(F5;T_ListeDevisClients[N° Devis];0));"")</t>
  </si>
  <si>
    <t>=SIERREUR(INDEX(T_RecapDevis[Désignation];EQUIV('Facture (Suite devis)'!$C$41&amp;LIGNE()-13;T_RecapDevis[Nb occurrence];0));"")</t>
  </si>
  <si>
    <t>C14 à C29 récupération des lignes du devis sélectionné en F5 (possibilité de modifier les lignes ou de rajouter des produits)</t>
  </si>
  <si>
    <t>=SIERREUR(INDEX(T_RecapDevis[Quantité];EQUIV('Facture (Suite devis)'!$C$41&amp;LIGNE()-13;T_RecapDevis[Nb occurrence];0));0)</t>
  </si>
  <si>
    <t>D14 à D29 récupération des quantités du devis sélectionné en F5</t>
  </si>
  <si>
    <t>=SI(C32&lt;&gt;"";SOMME.SI(T_Facture_Devis[TVA];C32;Facture_Devis[Total]);"")</t>
  </si>
  <si>
    <t>=SI(C33&lt;&gt;"";SOMME.SI(T_Facture_Devis[TVA];C33;T_Facture_Devis[Total]);"")</t>
  </si>
  <si>
    <t>=SOMME(T_Facture_Devis[Total])</t>
  </si>
  <si>
    <t>=SIERREUR(INDEX(T_RecapDevis[Acompte versé];EQUIV(FacClient;T_RecapDevis[Client];0));0)</t>
  </si>
  <si>
    <t>G41 récupération du montant de l'acompte versé</t>
  </si>
  <si>
    <t>G42 calcul du montant à payer</t>
  </si>
  <si>
    <t>=G38-G41</t>
  </si>
  <si>
    <t>=F5</t>
  </si>
  <si>
    <t>C41 récupération du n° de devis</t>
  </si>
  <si>
    <t>C42 récupération de la date du devis</t>
  </si>
  <si>
    <t>=SIERREUR(INDEX(T_RecapDevis[Date];EQUIV(FacClient;T_RecapDevis[Client];0));"")</t>
  </si>
  <si>
    <t>Liste des vérifications</t>
  </si>
  <si>
    <t>Liste des formules</t>
  </si>
  <si>
    <t>=SIERREUR(LIEN_HYPERTEXTE("#"&amp;ADRESSE(INDIRECT(ADRESSE(4;EQUIV(1;(A4:I4&gt;0)*1;0)));EQUIV(1;(A4:I4&gt;0)*1;0));"Chercher facture");"Chercher facture")</t>
  </si>
  <si>
    <t>G2 (formule matricielle à valider par CTRL + MAJ + ENTREE)</t>
  </si>
  <si>
    <t>=SI([@[N° Facture]]="";0;DROITE([@[N° Facture]];3))*1</t>
  </si>
  <si>
    <t>Colonne J récupération des 3 derniers chiffres du numéro de facture pour vérification de la numérotation entre la prochaine facture et le numéro de chrono</t>
  </si>
  <si>
    <t>F2 et F3 incrémentation du numéro par les macros ArchiverDevis et ArchiverFacture</t>
  </si>
  <si>
    <t>Colonne J et K (N° Devis &amp; Client) Liste des devis réalisés</t>
  </si>
  <si>
    <t>Dans le cas où des lignes sont manquantes dans la facture suite au devis, vérifier cette formule de calcul. Il faut toujours que le B8 corresponde bien au n° de la ligne du devis recherché.</t>
  </si>
  <si>
    <t>=SIERREUR(SI(C33&lt;&gt;"";D33*DROITE(C33;NBCAR(C33)-4);"");"")</t>
  </si>
  <si>
    <t>=SIERREUR(SI(C32&lt;&gt;"";D32*DROITE(C32;NBCAR(C32)-4);"");"")</t>
  </si>
  <si>
    <t>F36 et F37 récupèrent le ou les taux de TVA</t>
  </si>
  <si>
    <t>={SIERREUR(INDEX(T_Devis[TVA];EQUIV(0;NB.SI($F$35:F35;T_Devis[TVA]);0));"")}</t>
  </si>
  <si>
    <t>Attention formule de calcul matriciel à valider par la combinaison de touche MAJ+CTRL+ENTREE</t>
  </si>
  <si>
    <t>={SIERREUR(INDEX(T_Devis[TVA];EQUIV(0;NB.SI($F$35:F36;T_Devis[TVA]);0));"")}</t>
  </si>
  <si>
    <t>=[@[N° Devis]]&amp;NB.SI($B$7:[@[N° Devis]];[@[N° Devis]])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</si>
</sst>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164" formatCode="_(&quot;€&quot;* #,##0.00_);_(&quot;€&quot;* \(#,##0.00\);_(&quot;€&quot;* &quot;-&quot;??_);_(@_)"/>
    <numFmt numFmtId="165" formatCode="d\ mmmm\ yyyy"/>
    <numFmt numFmtId="166" formatCode="00000"/>
    <numFmt numFmtId="167" formatCode="0#&quot; &quot;##&quot; &quot;##&quot; &quot;##&quot; &quot;##"/>
    <numFmt numFmtId="168" formatCode="#,##0.00\ &quot;€&quot;"/>
  </numFmts>
  <fonts count="2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20"/>
      <color theme="1"/>
      <name val="Segoe UI"/>
      <family val="2"/>
    </font>
    <font>
      <sz val="10"/>
      <color theme="1"/>
      <name val="Segoe UI"/>
      <family val="2"/>
    </font>
    <font>
      <b/>
      <sz val="12"/>
      <color theme="1"/>
      <name val="Segoe UI"/>
      <family val="2"/>
    </font>
    <font>
      <sz val="12"/>
      <color theme="1"/>
      <name val="Segoe UI"/>
      <family val="2"/>
    </font>
    <font>
      <b/>
      <u/>
      <sz val="11"/>
      <color theme="1"/>
      <name val="Segoe UI"/>
      <family val="2"/>
    </font>
    <font>
      <i/>
      <sz val="11"/>
      <color theme="1"/>
      <name val="Segoe UI"/>
      <family val="2"/>
    </font>
    <font>
      <i/>
      <sz val="10"/>
      <color theme="1"/>
      <name val="Segoe UI"/>
      <family val="2"/>
    </font>
    <font>
      <b/>
      <sz val="11"/>
      <color theme="0" tint="-0.249977111117893"/>
      <name val="Segoe UI"/>
      <family val="2"/>
    </font>
    <font>
      <sz val="11"/>
      <color theme="0" tint="-0.249977111117893"/>
      <name val="Segoe UI"/>
      <family val="2"/>
    </font>
    <font>
      <u/>
      <sz val="11"/>
      <color theme="10"/>
      <name val="Segoe U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i/>
      <sz val="11"/>
      <color theme="0" tint="-0.34998626667073579"/>
      <name val="Segoe UI"/>
      <family val="2"/>
    </font>
    <font>
      <sz val="11"/>
      <color theme="1"/>
      <name val="Calibri"/>
      <family val="2"/>
      <scheme val="minor"/>
    </font>
    <font>
      <i/>
      <sz val="11"/>
      <color rgb="FF002060"/>
      <name val="Segoe UI"/>
      <family val="2"/>
    </font>
    <font>
      <sz val="11"/>
      <color theme="9" tint="0.79998168889431442"/>
      <name val="Segoe UI"/>
      <family val="2"/>
    </font>
    <font>
      <sz val="11"/>
      <color theme="5" tint="0.59999389629810485"/>
      <name val="Segoe UI"/>
      <family val="2"/>
    </font>
    <font>
      <strike/>
      <sz val="11"/>
      <color rgb="FFC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/>
      <diagonal/>
    </border>
    <border>
      <left style="hair">
        <color theme="0" tint="-0.24994659260841701"/>
      </left>
      <right/>
      <top style="hair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/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theme="0" tint="-0.24994659260841701"/>
      </right>
      <top/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 style="hair">
        <color theme="0" tint="-0.24994659260841701"/>
      </right>
      <top/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/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/>
      <top/>
      <bottom style="hair">
        <color rgb="FFBFBFBF"/>
      </bottom>
      <diagonal/>
    </border>
    <border>
      <left/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/>
      <top style="hair">
        <color rgb="FFBFBFBF"/>
      </top>
      <bottom style="hair">
        <color rgb="FFBFBFBF"/>
      </bottom>
      <diagonal/>
    </border>
    <border>
      <left/>
      <right style="hair">
        <color rgb="FFBFBFBF"/>
      </right>
      <top style="hair">
        <color rgb="FFBFBFBF"/>
      </top>
      <bottom/>
      <diagonal/>
    </border>
    <border>
      <left style="hair">
        <color rgb="FFBFBFBF"/>
      </left>
      <right style="hair">
        <color rgb="FFBFBFBF"/>
      </right>
      <top style="hair">
        <color rgb="FFBFBFBF"/>
      </top>
      <bottom/>
      <diagonal/>
    </border>
    <border>
      <left style="hair">
        <color rgb="FFBFBFBF"/>
      </left>
      <right/>
      <top style="hair">
        <color rgb="FFBFBFBF"/>
      </top>
      <bottom/>
      <diagonal/>
    </border>
    <border>
      <left style="thin">
        <color rgb="FFBFBFBF"/>
      </left>
      <right style="hair">
        <color rgb="FFBFBFBF"/>
      </right>
      <top style="thin">
        <color rgb="FFBFBFBF"/>
      </top>
      <bottom style="thin">
        <color rgb="FFBFBFBF"/>
      </bottom>
      <diagonal/>
    </border>
    <border>
      <left style="hair">
        <color rgb="FFBFBFBF"/>
      </left>
      <right style="hair">
        <color rgb="FFBFBFBF"/>
      </right>
      <top style="thin">
        <color rgb="FFBFBFBF"/>
      </top>
      <bottom style="thin">
        <color rgb="FFBFBFBF"/>
      </bottom>
      <diagonal/>
    </border>
    <border>
      <left style="hair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/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  <border>
      <left/>
      <right style="thin">
        <color theme="0" tint="-0.24994659260841701"/>
      </right>
      <top style="hair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7" fillId="0" borderId="0"/>
  </cellStyleXfs>
  <cellXfs count="220">
    <xf numFmtId="0" fontId="0" fillId="0" borderId="0" xfId="0"/>
    <xf numFmtId="0" fontId="0" fillId="0" borderId="0" xfId="0" applyAlignment="1">
      <alignment vertical="center"/>
    </xf>
    <xf numFmtId="165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0" fillId="2" borderId="0" xfId="0" applyFill="1" applyAlignment="1">
      <alignment vertical="center"/>
    </xf>
    <xf numFmtId="165" fontId="0" fillId="2" borderId="0" xfId="0" applyNumberForma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165" fontId="0" fillId="0" borderId="0" xfId="0" applyNumberFormat="1" applyFill="1" applyAlignment="1">
      <alignment horizontal="left" vertical="center"/>
    </xf>
    <xf numFmtId="0" fontId="4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" fontId="0" fillId="0" borderId="28" xfId="0" applyNumberFormat="1" applyBorder="1" applyAlignment="1">
      <alignment vertical="center"/>
    </xf>
    <xf numFmtId="0" fontId="0" fillId="0" borderId="30" xfId="0" applyBorder="1" applyAlignment="1">
      <alignment horizontal="center" vertical="center"/>
    </xf>
    <xf numFmtId="4" fontId="0" fillId="0" borderId="31" xfId="0" applyNumberFormat="1" applyBorder="1" applyAlignment="1">
      <alignment vertical="center"/>
    </xf>
    <xf numFmtId="0" fontId="0" fillId="0" borderId="33" xfId="0" applyBorder="1" applyAlignment="1">
      <alignment horizontal="center" vertical="center"/>
    </xf>
    <xf numFmtId="4" fontId="0" fillId="0" borderId="34" xfId="0" applyNumberFormat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5" fillId="0" borderId="17" xfId="0" applyNumberFormat="1" applyFont="1" applyBorder="1" applyAlignment="1">
      <alignment vertical="center"/>
    </xf>
    <xf numFmtId="164" fontId="5" fillId="0" borderId="2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5" xfId="0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5" fontId="0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64" fontId="5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3" xfId="0" applyFont="1" applyFill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8" xfId="0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4" fontId="0" fillId="0" borderId="29" xfId="0" applyNumberFormat="1" applyBorder="1" applyAlignment="1" applyProtection="1">
      <alignment horizontal="center" vertical="center"/>
      <protection locked="0"/>
    </xf>
    <xf numFmtId="4" fontId="0" fillId="0" borderId="32" xfId="0" applyNumberFormat="1" applyBorder="1" applyAlignment="1" applyProtection="1">
      <alignment horizontal="center" vertical="center"/>
      <protection locked="0"/>
    </xf>
    <xf numFmtId="4" fontId="0" fillId="0" borderId="35" xfId="0" applyNumberFormat="1" applyBorder="1" applyAlignment="1" applyProtection="1">
      <alignment horizontal="center" vertical="center"/>
      <protection locked="0"/>
    </xf>
    <xf numFmtId="3" fontId="0" fillId="0" borderId="28" xfId="0" applyNumberFormat="1" applyBorder="1" applyAlignment="1" applyProtection="1">
      <alignment horizontal="center" vertical="center"/>
      <protection locked="0"/>
    </xf>
    <xf numFmtId="3" fontId="0" fillId="0" borderId="31" xfId="0" applyNumberFormat="1" applyBorder="1" applyAlignment="1" applyProtection="1">
      <alignment horizontal="center" vertical="center"/>
      <protection locked="0"/>
    </xf>
    <xf numFmtId="3" fontId="0" fillId="0" borderId="34" xfId="0" applyNumberFormat="1" applyBorder="1" applyAlignment="1" applyProtection="1">
      <alignment horizontal="center" vertical="center"/>
      <protection locked="0"/>
    </xf>
    <xf numFmtId="4" fontId="0" fillId="0" borderId="28" xfId="0" applyNumberFormat="1" applyBorder="1" applyAlignment="1">
      <alignment horizontal="right" vertical="center"/>
    </xf>
    <xf numFmtId="4" fontId="0" fillId="0" borderId="31" xfId="0" applyNumberFormat="1" applyBorder="1" applyAlignment="1">
      <alignment horizontal="right" vertical="center"/>
    </xf>
    <xf numFmtId="4" fontId="0" fillId="0" borderId="34" xfId="0" applyNumberFormat="1" applyBorder="1" applyAlignment="1">
      <alignment horizontal="right" vertical="center"/>
    </xf>
    <xf numFmtId="0" fontId="4" fillId="2" borderId="18" xfId="0" applyFont="1" applyFill="1" applyBorder="1" applyAlignment="1" applyProtection="1">
      <alignment vertical="center"/>
      <protection locked="0"/>
    </xf>
    <xf numFmtId="0" fontId="10" fillId="0" borderId="39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26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NumberFormat="1" applyAlignment="1">
      <alignment horizontal="center"/>
    </xf>
    <xf numFmtId="14" fontId="8" fillId="0" borderId="22" xfId="0" applyNumberFormat="1" applyFont="1" applyFill="1" applyBorder="1" applyAlignment="1">
      <alignment horizontal="left" vertical="center"/>
    </xf>
    <xf numFmtId="2" fontId="0" fillId="0" borderId="0" xfId="0" applyNumberFormat="1"/>
    <xf numFmtId="14" fontId="0" fillId="0" borderId="0" xfId="0" applyNumberFormat="1" applyAlignment="1">
      <alignment vertical="center"/>
    </xf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NumberFormat="1" applyAlignment="1">
      <alignment vertical="center"/>
    </xf>
    <xf numFmtId="164" fontId="5" fillId="0" borderId="0" xfId="0" applyNumberFormat="1" applyFont="1" applyBorder="1" applyAlignment="1">
      <alignment vertical="center"/>
    </xf>
    <xf numFmtId="0" fontId="8" fillId="0" borderId="4" xfId="0" applyFont="1" applyFill="1" applyBorder="1" applyAlignment="1">
      <alignment horizontal="right" vertical="center"/>
    </xf>
    <xf numFmtId="0" fontId="8" fillId="0" borderId="24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horizontal="center" vertical="center"/>
    </xf>
    <xf numFmtId="0" fontId="0" fillId="0" borderId="0" xfId="0" applyFill="1"/>
    <xf numFmtId="0" fontId="11" fillId="0" borderId="0" xfId="1"/>
    <xf numFmtId="0" fontId="13" fillId="3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4" fontId="8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 applyProtection="1">
      <alignment vertical="center"/>
      <protection locked="0"/>
    </xf>
    <xf numFmtId="0" fontId="12" fillId="5" borderId="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0" fontId="0" fillId="0" borderId="0" xfId="0" applyNumberFormat="1"/>
    <xf numFmtId="0" fontId="13" fillId="3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15" fillId="3" borderId="0" xfId="1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NumberFormat="1" applyAlignment="1">
      <alignment horizontal="center" vertical="center"/>
    </xf>
    <xf numFmtId="0" fontId="14" fillId="4" borderId="0" xfId="0" quotePrefix="1" applyNumberFormat="1" applyFont="1" applyFill="1" applyBorder="1" applyAlignment="1" applyProtection="1">
      <alignment horizontal="center" vertical="center"/>
    </xf>
    <xf numFmtId="0" fontId="1" fillId="0" borderId="0" xfId="0" applyFont="1"/>
    <xf numFmtId="0" fontId="1" fillId="0" borderId="44" xfId="0" applyFont="1" applyBorder="1"/>
    <xf numFmtId="0" fontId="0" fillId="0" borderId="44" xfId="0" applyBorder="1"/>
    <xf numFmtId="0" fontId="1" fillId="0" borderId="45" xfId="0" applyFont="1" applyBorder="1"/>
    <xf numFmtId="0" fontId="0" fillId="0" borderId="45" xfId="0" applyFont="1" applyBorder="1"/>
    <xf numFmtId="0" fontId="0" fillId="0" borderId="45" xfId="0" applyBorder="1"/>
    <xf numFmtId="0" fontId="0" fillId="0" borderId="45" xfId="0" quotePrefix="1" applyBorder="1"/>
    <xf numFmtId="0" fontId="1" fillId="0" borderId="46" xfId="0" applyFont="1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9" xfId="0" applyBorder="1"/>
    <xf numFmtId="0" fontId="0" fillId="0" borderId="12" xfId="0" applyBorder="1"/>
    <xf numFmtId="0" fontId="0" fillId="0" borderId="44" xfId="0" quotePrefix="1" applyBorder="1"/>
    <xf numFmtId="0" fontId="18" fillId="6" borderId="45" xfId="0" applyFont="1" applyFill="1" applyBorder="1"/>
    <xf numFmtId="0" fontId="20" fillId="0" borderId="45" xfId="0" applyFont="1" applyFill="1" applyBorder="1"/>
    <xf numFmtId="0" fontId="19" fillId="0" borderId="45" xfId="0" applyFont="1" applyFill="1" applyBorder="1"/>
    <xf numFmtId="0" fontId="0" fillId="0" borderId="46" xfId="0" quotePrefix="1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11" fillId="0" borderId="45" xfId="1" applyBorder="1"/>
    <xf numFmtId="0" fontId="11" fillId="0" borderId="45" xfId="1" quotePrefix="1" applyBorder="1"/>
    <xf numFmtId="0" fontId="0" fillId="0" borderId="0" xfId="0" applyBorder="1"/>
    <xf numFmtId="0" fontId="1" fillId="0" borderId="5" xfId="0" applyFont="1" applyBorder="1"/>
    <xf numFmtId="0" fontId="11" fillId="0" borderId="8" xfId="1" quotePrefix="1" applyBorder="1"/>
    <xf numFmtId="0" fontId="1" fillId="0" borderId="8" xfId="0" applyFont="1" applyBorder="1"/>
    <xf numFmtId="0" fontId="1" fillId="0" borderId="10" xfId="0" applyFont="1" applyBorder="1"/>
    <xf numFmtId="0" fontId="11" fillId="0" borderId="8" xfId="1" applyBorder="1"/>
    <xf numFmtId="0" fontId="0" fillId="0" borderId="5" xfId="0" applyFill="1" applyBorder="1"/>
    <xf numFmtId="0" fontId="0" fillId="0" borderId="8" xfId="0" quotePrefix="1" applyBorder="1"/>
    <xf numFmtId="0" fontId="0" fillId="0" borderId="8" xfId="0" applyFill="1" applyBorder="1"/>
    <xf numFmtId="14" fontId="0" fillId="0" borderId="8" xfId="0" quotePrefix="1" applyNumberFormat="1" applyBorder="1"/>
    <xf numFmtId="0" fontId="0" fillId="0" borderId="8" xfId="0" quotePrefix="1" applyFont="1" applyBorder="1" applyAlignment="1">
      <alignment horizontal="left" vertical="center"/>
    </xf>
    <xf numFmtId="0" fontId="0" fillId="0" borderId="8" xfId="0" quotePrefix="1" applyFill="1" applyBorder="1"/>
    <xf numFmtId="0" fontId="0" fillId="0" borderId="54" xfId="0" applyBorder="1"/>
    <xf numFmtId="0" fontId="0" fillId="0" borderId="55" xfId="0" applyBorder="1"/>
    <xf numFmtId="0" fontId="0" fillId="0" borderId="57" xfId="0" applyFill="1" applyBorder="1"/>
    <xf numFmtId="0" fontId="0" fillId="0" borderId="58" xfId="0" applyBorder="1"/>
    <xf numFmtId="0" fontId="1" fillId="0" borderId="9" xfId="0" applyFont="1" applyBorder="1"/>
    <xf numFmtId="0" fontId="1" fillId="0" borderId="12" xfId="0" applyFont="1" applyBorder="1"/>
    <xf numFmtId="0" fontId="0" fillId="0" borderId="59" xfId="0" applyBorder="1"/>
    <xf numFmtId="0" fontId="0" fillId="0" borderId="56" xfId="0" applyBorder="1"/>
    <xf numFmtId="0" fontId="0" fillId="0" borderId="54" xfId="0" quotePrefix="1" applyBorder="1"/>
    <xf numFmtId="0" fontId="0" fillId="0" borderId="57" xfId="0" applyBorder="1"/>
    <xf numFmtId="0" fontId="0" fillId="0" borderId="54" xfId="0" quotePrefix="1" applyFill="1" applyBorder="1"/>
    <xf numFmtId="0" fontId="0" fillId="0" borderId="54" xfId="0" quotePrefix="1" applyFont="1" applyBorder="1" applyAlignment="1">
      <alignment horizontal="left" vertical="center"/>
    </xf>
    <xf numFmtId="0" fontId="0" fillId="0" borderId="57" xfId="0" quotePrefix="1" applyFont="1" applyBorder="1" applyAlignment="1">
      <alignment horizontal="left" vertical="center"/>
    </xf>
    <xf numFmtId="0" fontId="0" fillId="0" borderId="57" xfId="0" quotePrefix="1" applyFont="1" applyFill="1" applyBorder="1" applyAlignment="1">
      <alignment horizontal="left" vertical="center"/>
    </xf>
    <xf numFmtId="168" fontId="0" fillId="0" borderId="23" xfId="0" applyNumberFormat="1" applyBorder="1" applyAlignment="1">
      <alignment vertical="center"/>
    </xf>
    <xf numFmtId="168" fontId="0" fillId="0" borderId="26" xfId="0" applyNumberForma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7" fontId="0" fillId="0" borderId="23" xfId="0" applyNumberFormat="1" applyBorder="1" applyAlignment="1">
      <alignment vertical="center"/>
    </xf>
    <xf numFmtId="7" fontId="0" fillId="0" borderId="26" xfId="0" applyNumberFormat="1" applyBorder="1" applyAlignment="1">
      <alignment vertical="center"/>
    </xf>
    <xf numFmtId="7" fontId="0" fillId="0" borderId="21" xfId="0" applyNumberFormat="1" applyBorder="1" applyAlignment="1">
      <alignment vertical="center"/>
    </xf>
    <xf numFmtId="168" fontId="5" fillId="0" borderId="17" xfId="0" applyNumberFormat="1" applyFont="1" applyBorder="1" applyAlignment="1">
      <alignment vertical="center"/>
    </xf>
    <xf numFmtId="168" fontId="5" fillId="0" borderId="19" xfId="0" applyNumberFormat="1" applyFont="1" applyBorder="1" applyAlignment="1">
      <alignment vertical="center"/>
    </xf>
    <xf numFmtId="168" fontId="5" fillId="0" borderId="21" xfId="0" applyNumberFormat="1" applyFont="1" applyBorder="1" applyAlignment="1">
      <alignment vertical="center"/>
    </xf>
    <xf numFmtId="168" fontId="0" fillId="0" borderId="2" xfId="0" applyNumberFormat="1" applyBorder="1" applyAlignment="1">
      <alignment vertical="center"/>
    </xf>
    <xf numFmtId="0" fontId="0" fillId="0" borderId="9" xfId="0" quotePrefix="1" applyBorder="1"/>
    <xf numFmtId="0" fontId="0" fillId="5" borderId="57" xfId="0" applyFill="1" applyBorder="1"/>
    <xf numFmtId="0" fontId="0" fillId="5" borderId="8" xfId="0" quotePrefix="1" applyFill="1" applyBorder="1"/>
    <xf numFmtId="0" fontId="0" fillId="5" borderId="54" xfId="0" applyFill="1" applyBorder="1"/>
    <xf numFmtId="0" fontId="0" fillId="5" borderId="8" xfId="0" applyFill="1" applyBorder="1"/>
    <xf numFmtId="0" fontId="0" fillId="5" borderId="9" xfId="0" applyFill="1" applyBorder="1"/>
    <xf numFmtId="0" fontId="21" fillId="5" borderId="8" xfId="0" applyFont="1" applyFill="1" applyBorder="1"/>
    <xf numFmtId="0" fontId="21" fillId="5" borderId="9" xfId="0" applyFont="1" applyFill="1" applyBorder="1"/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4" fillId="4" borderId="0" xfId="0" quotePrefix="1" applyFont="1" applyFill="1" applyBorder="1" applyAlignment="1" applyProtection="1">
      <alignment horizontal="center" vertical="center"/>
    </xf>
    <xf numFmtId="0" fontId="14" fillId="4" borderId="0" xfId="0" applyFont="1" applyFill="1" applyBorder="1" applyAlignment="1" applyProtection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5" xfId="0" applyFont="1" applyBorder="1" applyAlignment="1">
      <alignment horizontal="center" vertical="top"/>
    </xf>
    <xf numFmtId="0" fontId="0" fillId="0" borderId="7" xfId="0" applyFont="1" applyBorder="1" applyAlignment="1">
      <alignment horizontal="center" vertical="top"/>
    </xf>
    <xf numFmtId="0" fontId="0" fillId="0" borderId="8" xfId="0" applyFont="1" applyBorder="1" applyAlignment="1">
      <alignment horizontal="center" vertical="top"/>
    </xf>
    <xf numFmtId="0" fontId="0" fillId="0" borderId="9" xfId="0" applyFont="1" applyBorder="1" applyAlignment="1">
      <alignment horizontal="center" vertical="top"/>
    </xf>
    <xf numFmtId="0" fontId="0" fillId="0" borderId="10" xfId="0" applyFont="1" applyBorder="1" applyAlignment="1">
      <alignment horizontal="center" vertical="top"/>
    </xf>
    <xf numFmtId="0" fontId="0" fillId="0" borderId="12" xfId="0" applyFont="1" applyBorder="1" applyAlignment="1">
      <alignment horizontal="center" vertical="top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9" xfId="0" applyBorder="1" applyAlignment="1">
      <alignment horizontal="left" vertical="center"/>
    </xf>
    <xf numFmtId="14" fontId="14" fillId="4" borderId="0" xfId="0" quotePrefix="1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3" xfId="0" applyFont="1" applyFill="1" applyBorder="1" applyAlignment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6" xfId="0" applyBorder="1" applyAlignment="1" applyProtection="1">
      <alignment horizontal="left" vertical="center"/>
    </xf>
    <xf numFmtId="0" fontId="0" fillId="0" borderId="7" xfId="0" applyBorder="1" applyAlignment="1" applyProtection="1">
      <alignment horizontal="left" vertical="center"/>
    </xf>
  </cellXfs>
  <cellStyles count="3">
    <cellStyle name="Lien hypertexte" xfId="1" builtinId="8"/>
    <cellStyle name="Normal" xfId="0" builtinId="0"/>
    <cellStyle name="Normal 2" xfId="2" xr:uid="{3EEE43D6-7996-48D7-9FB2-E7844E6DD5C0}"/>
  </cellStyles>
  <dxfs count="93"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/>
        <color rgb="FF002060"/>
      </font>
      <fill>
        <patternFill>
          <bgColor theme="7" tint="0.39994506668294322"/>
        </patternFill>
      </fill>
    </dxf>
    <dxf>
      <numFmt numFmtId="4" formatCode="#,##0.00"/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/>
        <top style="hair">
          <color rgb="FFBFBFBF"/>
        </top>
        <bottom style="hair">
          <color rgb="FFBFBFBF"/>
        </bottom>
      </border>
      <protection locked="0" hidden="0"/>
    </dxf>
    <dxf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border>
        <top style="hair">
          <color rgb="FFBFBFBF"/>
        </top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alignment horizontal="general" vertical="center" textRotation="0" wrapText="0" indent="0" justifyLastLine="0" shrinkToFit="0" readingOrder="0"/>
    </dxf>
    <dxf>
      <border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/>
        <bottom/>
      </border>
    </dxf>
    <dxf>
      <font>
        <b val="0"/>
        <i val="0"/>
        <color theme="9" tint="0.79998168889431442"/>
      </font>
    </dxf>
    <dxf>
      <font>
        <b val="0"/>
        <i/>
        <color theme="5" tint="0.59996337778862885"/>
      </font>
    </dxf>
    <dxf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/>
        <top style="hair">
          <color rgb="FFBFBFBF"/>
        </top>
        <bottom style="hair">
          <color rgb="FFBFBFBF"/>
        </bottom>
      </border>
      <protection locked="0" hidden="0"/>
    </dxf>
    <dxf>
      <numFmt numFmtId="4" formatCode="#,##0.00"/>
      <alignment horizontal="general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alignment horizontal="general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border>
        <top style="hair">
          <color rgb="FFBFBFBF"/>
        </top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alignment horizontal="general" vertical="center" textRotation="0" wrapText="0" indent="0" justifyLastLine="0" shrinkToFit="0" readingOrder="0"/>
    </dxf>
    <dxf>
      <border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/>
        <bottom/>
      </border>
    </dxf>
    <dxf>
      <font>
        <b val="0"/>
        <i val="0"/>
        <color theme="9" tint="0.79998168889431442"/>
      </font>
    </dxf>
    <dxf>
      <font>
        <b val="0"/>
        <i/>
        <color theme="5" tint="0.59996337778862885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/>
        <color rgb="FF002060"/>
      </font>
      <fill>
        <patternFill>
          <bgColor theme="7" tint="0.39994506668294322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hair">
          <color rgb="FFBFBFBF"/>
        </left>
        <right/>
        <top style="hair">
          <color rgb="FFBFBFBF"/>
        </top>
        <bottom style="hair">
          <color rgb="FFBFBFBF"/>
        </bottom>
      </border>
      <protection locked="0" hidden="0"/>
    </dxf>
    <dxf>
      <numFmt numFmtId="4" formatCode="#,##0.00"/>
      <alignment horizontal="general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alignment horizontal="general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 style="hair">
          <color rgb="FFBFBFBF"/>
        </top>
        <bottom style="hair">
          <color rgb="FFBFBFBF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hair">
          <color rgb="FFBFBFBF"/>
        </right>
        <top style="hair">
          <color rgb="FFBFBFBF"/>
        </top>
        <bottom style="hair">
          <color rgb="FFBFBFBF"/>
        </bottom>
      </border>
    </dxf>
    <dxf>
      <border>
        <top style="hair">
          <color rgb="FFBFBFBF"/>
        </top>
      </border>
    </dxf>
    <dxf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alignment horizontal="general" vertical="center" textRotation="0" wrapText="0" indent="0" justifyLastLine="0" shrinkToFit="0" readingOrder="0"/>
    </dxf>
    <dxf>
      <border>
        <bottom style="thin">
          <color rgb="FFBFBFB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BFBFBF"/>
        </left>
        <right style="hair">
          <color rgb="FFBFBFBF"/>
        </right>
        <top/>
        <bottom/>
      </border>
    </dxf>
    <dxf>
      <font>
        <b val="0"/>
        <i val="0"/>
        <color theme="9" tint="0.79998168889431442"/>
      </font>
    </dxf>
    <dxf>
      <font>
        <b val="0"/>
        <i/>
        <color theme="5" tint="0.59996337778862885"/>
      </font>
    </dxf>
    <dxf>
      <numFmt numFmtId="168" formatCode="#,##0.00\ &quot;€&quot;"/>
      <alignment horizontal="right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/>
        <color rgb="FF002060"/>
      </font>
      <fill>
        <patternFill>
          <bgColor theme="7" tint="0.39994506668294322"/>
        </patternFill>
      </fill>
    </dxf>
    <dxf>
      <alignment horizontal="center" vertical="bottom" textRotation="0" wrapText="0" indent="0" justifyLastLine="0" shrinkToFit="0" readingOrder="0"/>
    </dxf>
    <dxf>
      <numFmt numFmtId="167" formatCode="0#&quot; &quot;##&quot; &quot;##&quot; &quot;##&quot; &quot;##"/>
      <alignment horizontal="center" vertical="bottom" textRotation="0" wrapText="0" indent="0" justifyLastLine="0" shrinkToFit="0" readingOrder="0"/>
    </dxf>
    <dxf>
      <numFmt numFmtId="166" formatCode="00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/>
        <color rgb="FF002060"/>
      </font>
      <fill>
        <patternFill>
          <bgColor rgb="FFFFD966"/>
        </patternFill>
      </fill>
    </dxf>
  </dxfs>
  <tableStyles count="0" defaultTableStyle="TableStyleMedium2" defaultPivotStyle="PivotStyleLight16"/>
  <colors>
    <mruColors>
      <color rgb="FFFFD9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hyperlink" Target="#'R&#233;cap devis'!A1"/><Relationship Id="rId2" Type="http://schemas.openxmlformats.org/officeDocument/2006/relationships/image" Target="../media/image6.svg"/><Relationship Id="rId1" Type="http://schemas.openxmlformats.org/officeDocument/2006/relationships/image" Target="../media/image5.png"/><Relationship Id="rId6" Type="http://schemas.microsoft.com/office/2007/relationships/hdphoto" Target="../media/hdphoto1.wdp"/><Relationship Id="rId5" Type="http://schemas.openxmlformats.org/officeDocument/2006/relationships/image" Target="../media/image9.png"/><Relationship Id="rId4" Type="http://schemas.openxmlformats.org/officeDocument/2006/relationships/image" Target="../media/image8.sv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'Facture (Suite devis)'!A1"/><Relationship Id="rId1" Type="http://schemas.openxmlformats.org/officeDocument/2006/relationships/hyperlink" Target="#Devis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hyperlink" Target="#'R&#233;cap facture'!A1"/><Relationship Id="rId2" Type="http://schemas.openxmlformats.org/officeDocument/2006/relationships/image" Target="../media/image6.svg"/><Relationship Id="rId1" Type="http://schemas.openxmlformats.org/officeDocument/2006/relationships/image" Target="../media/image5.png"/><Relationship Id="rId6" Type="http://schemas.microsoft.com/office/2007/relationships/hdphoto" Target="../media/hdphoto1.wdp"/><Relationship Id="rId5" Type="http://schemas.openxmlformats.org/officeDocument/2006/relationships/image" Target="../media/image9.png"/><Relationship Id="rId4" Type="http://schemas.openxmlformats.org/officeDocument/2006/relationships/image" Target="../media/image8.sv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7" Type="http://schemas.openxmlformats.org/officeDocument/2006/relationships/hyperlink" Target="#'R&#233;cap facture'!A1"/><Relationship Id="rId2" Type="http://schemas.openxmlformats.org/officeDocument/2006/relationships/image" Target="../media/image6.svg"/><Relationship Id="rId1" Type="http://schemas.openxmlformats.org/officeDocument/2006/relationships/image" Target="../media/image5.png"/><Relationship Id="rId6" Type="http://schemas.microsoft.com/office/2007/relationships/hdphoto" Target="../media/hdphoto1.wdp"/><Relationship Id="rId5" Type="http://schemas.openxmlformats.org/officeDocument/2006/relationships/image" Target="../media/image9.png"/><Relationship Id="rId4" Type="http://schemas.openxmlformats.org/officeDocument/2006/relationships/image" Target="../media/image8.sv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'Facture (Suite devis)'!FacClient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56</xdr:row>
      <xdr:rowOff>9525</xdr:rowOff>
    </xdr:from>
    <xdr:to>
      <xdr:col>2</xdr:col>
      <xdr:colOff>2287097</xdr:colOff>
      <xdr:row>91</xdr:row>
      <xdr:rowOff>67707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48ADC0A-32E5-47B8-9FEA-631B59AB0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1744325"/>
          <a:ext cx="7859222" cy="7392432"/>
        </a:xfrm>
        <a:prstGeom prst="rect">
          <a:avLst/>
        </a:prstGeom>
      </xdr:spPr>
    </xdr:pic>
    <xdr:clientData/>
  </xdr:twoCellAnchor>
  <xdr:twoCellAnchor editAs="oneCell">
    <xdr:from>
      <xdr:col>1</xdr:col>
      <xdr:colOff>352425</xdr:colOff>
      <xdr:row>148</xdr:row>
      <xdr:rowOff>66675</xdr:rowOff>
    </xdr:from>
    <xdr:to>
      <xdr:col>2</xdr:col>
      <xdr:colOff>4401806</xdr:colOff>
      <xdr:row>158</xdr:row>
      <xdr:rowOff>95546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3F61BE0-3613-4CE8-BB69-A0B03DCEEA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0" y="31918275"/>
          <a:ext cx="9002381" cy="2124371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159</xdr:row>
      <xdr:rowOff>76200</xdr:rowOff>
    </xdr:from>
    <xdr:to>
      <xdr:col>2</xdr:col>
      <xdr:colOff>4744750</xdr:colOff>
      <xdr:row>169</xdr:row>
      <xdr:rowOff>57440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9C486F2-4F0B-4628-BFB1-AD1D7C9F8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38325" y="34232850"/>
          <a:ext cx="9316750" cy="207674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323850</xdr:colOff>
      <xdr:row>170</xdr:row>
      <xdr:rowOff>38100</xdr:rowOff>
    </xdr:from>
    <xdr:to>
      <xdr:col>2</xdr:col>
      <xdr:colOff>7716973</xdr:colOff>
      <xdr:row>180</xdr:row>
      <xdr:rowOff>38392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79266946-C2DA-40EE-B048-DDEFDFB86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81175" y="36499800"/>
          <a:ext cx="12346123" cy="20957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590550</xdr:colOff>
      <xdr:row>1</xdr:row>
      <xdr:rowOff>0</xdr:rowOff>
    </xdr:from>
    <xdr:to>
      <xdr:col>10</xdr:col>
      <xdr:colOff>2030550</xdr:colOff>
      <xdr:row>2</xdr:row>
      <xdr:rowOff>15975</xdr:rowOff>
    </xdr:to>
    <xdr:sp macro="[0]!ouvre_frm_saisie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7F2C5C9-F772-49F9-B0C4-1BE2D6BF5239}"/>
            </a:ext>
          </a:extLst>
        </xdr:cNvPr>
        <xdr:cNvSpPr/>
      </xdr:nvSpPr>
      <xdr:spPr>
        <a:xfrm>
          <a:off x="11344275" y="57150"/>
          <a:ext cx="1440000" cy="216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Saisie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514350</xdr:colOff>
      <xdr:row>1</xdr:row>
      <xdr:rowOff>0</xdr:rowOff>
    </xdr:from>
    <xdr:to>
      <xdr:col>6</xdr:col>
      <xdr:colOff>133950</xdr:colOff>
      <xdr:row>2</xdr:row>
      <xdr:rowOff>9525</xdr:rowOff>
    </xdr:to>
    <xdr:sp macro="[0]!ouvre_frm_saisieProdu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A5AE239-9B5E-428B-BD64-DC07251F3A88}"/>
            </a:ext>
          </a:extLst>
        </xdr:cNvPr>
        <xdr:cNvSpPr/>
      </xdr:nvSpPr>
      <xdr:spPr>
        <a:xfrm>
          <a:off x="6715125" y="57150"/>
          <a:ext cx="1296000" cy="20955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produit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826275</xdr:colOff>
      <xdr:row>8</xdr:row>
      <xdr:rowOff>0</xdr:rowOff>
    </xdr:from>
    <xdr:to>
      <xdr:col>1</xdr:col>
      <xdr:colOff>213600</xdr:colOff>
      <xdr:row>8</xdr:row>
      <xdr:rowOff>216000</xdr:rowOff>
    </xdr:to>
    <xdr:pic>
      <xdr:nvPicPr>
        <xdr:cNvPr id="2" name="Graphique 1" descr="Téléphone">
          <a:extLst>
            <a:ext uri="{FF2B5EF4-FFF2-40B4-BE49-F238E27FC236}">
              <a16:creationId xmlns:a16="http://schemas.microsoft.com/office/drawing/2014/main" id="{B10624DD-603F-49FE-82D5-E745545ADD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3825" y="21240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826275</xdr:colOff>
      <xdr:row>9</xdr:row>
      <xdr:rowOff>0</xdr:rowOff>
    </xdr:from>
    <xdr:to>
      <xdr:col>1</xdr:col>
      <xdr:colOff>213600</xdr:colOff>
      <xdr:row>9</xdr:row>
      <xdr:rowOff>216000</xdr:rowOff>
    </xdr:to>
    <xdr:pic>
      <xdr:nvPicPr>
        <xdr:cNvPr id="3" name="Graphique 2" descr="Courrier">
          <a:extLst>
            <a:ext uri="{FF2B5EF4-FFF2-40B4-BE49-F238E27FC236}">
              <a16:creationId xmlns:a16="http://schemas.microsoft.com/office/drawing/2014/main" id="{5019293C-4D2A-46B9-987A-2D593C369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73825" y="237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</xdr:row>
      <xdr:rowOff>28575</xdr:rowOff>
    </xdr:from>
    <xdr:to>
      <xdr:col>2</xdr:col>
      <xdr:colOff>887730</xdr:colOff>
      <xdr:row>4</xdr:row>
      <xdr:rowOff>159293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6BF85B9-808D-4818-AEC6-38975B2B5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GlowDiffused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523875"/>
          <a:ext cx="1583055" cy="626018"/>
        </a:xfrm>
        <a:prstGeom prst="rect">
          <a:avLst/>
        </a:prstGeom>
        <a:solidFill>
          <a:srgbClr val="92D050"/>
        </a:solidFill>
      </xdr:spPr>
    </xdr:pic>
    <xdr:clientData/>
  </xdr:twoCellAnchor>
  <xdr:twoCellAnchor editAs="absolute">
    <xdr:from>
      <xdr:col>9</xdr:col>
      <xdr:colOff>676275</xdr:colOff>
      <xdr:row>5</xdr:row>
      <xdr:rowOff>9525</xdr:rowOff>
    </xdr:from>
    <xdr:to>
      <xdr:col>11</xdr:col>
      <xdr:colOff>799875</xdr:colOff>
      <xdr:row>5</xdr:row>
      <xdr:rowOff>369525</xdr:rowOff>
    </xdr:to>
    <xdr:sp macro="[0]!ArchiverDev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809CBED-534A-4EC6-9F84-A9701C9E8EFE}"/>
            </a:ext>
          </a:extLst>
        </xdr:cNvPr>
        <xdr:cNvSpPr/>
      </xdr:nvSpPr>
      <xdr:spPr>
        <a:xfrm>
          <a:off x="9896475" y="1247775"/>
          <a:ext cx="180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Archivage du devis</a:t>
          </a:r>
        </a:p>
      </xdr:txBody>
    </xdr:sp>
    <xdr:clientData fPrintsWithSheet="0"/>
  </xdr:twoCellAnchor>
  <xdr:twoCellAnchor editAs="absolute">
    <xdr:from>
      <xdr:col>9</xdr:col>
      <xdr:colOff>676275</xdr:colOff>
      <xdr:row>6</xdr:row>
      <xdr:rowOff>95250</xdr:rowOff>
    </xdr:from>
    <xdr:to>
      <xdr:col>11</xdr:col>
      <xdr:colOff>799875</xdr:colOff>
      <xdr:row>7</xdr:row>
      <xdr:rowOff>207600</xdr:rowOff>
    </xdr:to>
    <xdr:sp macro="" textlink="">
      <xdr:nvSpPr>
        <xdr:cNvPr id="6" name="Rectangle : coins arrondis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8E81DEB9-B221-4741-8867-BE4C74997304}"/>
            </a:ext>
          </a:extLst>
        </xdr:cNvPr>
        <xdr:cNvSpPr/>
      </xdr:nvSpPr>
      <xdr:spPr>
        <a:xfrm>
          <a:off x="9896475" y="1724025"/>
          <a:ext cx="180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Récap devis</a:t>
          </a:r>
        </a:p>
      </xdr:txBody>
    </xdr:sp>
    <xdr:clientData fPrintsWithSheet="0"/>
  </xdr:twoCellAnchor>
  <xdr:twoCellAnchor>
    <xdr:from>
      <xdr:col>9</xdr:col>
      <xdr:colOff>676275</xdr:colOff>
      <xdr:row>1</xdr:row>
      <xdr:rowOff>28575</xdr:rowOff>
    </xdr:from>
    <xdr:to>
      <xdr:col>11</xdr:col>
      <xdr:colOff>799875</xdr:colOff>
      <xdr:row>2</xdr:row>
      <xdr:rowOff>140925</xdr:rowOff>
    </xdr:to>
    <xdr:sp macro="[0]!EnregistrementDevi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EB22782-E23E-4F65-84B4-616260FF1E9D}"/>
            </a:ext>
          </a:extLst>
        </xdr:cNvPr>
        <xdr:cNvSpPr/>
      </xdr:nvSpPr>
      <xdr:spPr>
        <a:xfrm>
          <a:off x="9896475" y="276225"/>
          <a:ext cx="180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PDF</a:t>
          </a:r>
        </a:p>
      </xdr:txBody>
    </xdr:sp>
    <xdr:clientData/>
  </xdr:twoCellAnchor>
  <xdr:twoCellAnchor>
    <xdr:from>
      <xdr:col>9</xdr:col>
      <xdr:colOff>676275</xdr:colOff>
      <xdr:row>3</xdr:row>
      <xdr:rowOff>28575</xdr:rowOff>
    </xdr:from>
    <xdr:to>
      <xdr:col>11</xdr:col>
      <xdr:colOff>799875</xdr:colOff>
      <xdr:row>4</xdr:row>
      <xdr:rowOff>140925</xdr:rowOff>
    </xdr:to>
    <xdr:sp macro="[0]!ImpressionDevi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38EF4750-D5E1-4987-86BF-AA94359C77D7}"/>
            </a:ext>
          </a:extLst>
        </xdr:cNvPr>
        <xdr:cNvSpPr/>
      </xdr:nvSpPr>
      <xdr:spPr>
        <a:xfrm>
          <a:off x="9896475" y="771525"/>
          <a:ext cx="180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Impression du devis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9524</xdr:colOff>
      <xdr:row>1</xdr:row>
      <xdr:rowOff>0</xdr:rowOff>
    </xdr:from>
    <xdr:to>
      <xdr:col>14</xdr:col>
      <xdr:colOff>685574</xdr:colOff>
      <xdr:row>2</xdr:row>
      <xdr:rowOff>15975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C27034-0C67-4E99-93D4-B5078985E537}"/>
            </a:ext>
          </a:extLst>
        </xdr:cNvPr>
        <xdr:cNvSpPr/>
      </xdr:nvSpPr>
      <xdr:spPr>
        <a:xfrm>
          <a:off x="11544299" y="209550"/>
          <a:ext cx="1800000" cy="216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devis</a:t>
          </a:r>
        </a:p>
      </xdr:txBody>
    </xdr:sp>
    <xdr:clientData/>
  </xdr:twoCellAnchor>
  <xdr:twoCellAnchor>
    <xdr:from>
      <xdr:col>15</xdr:col>
      <xdr:colOff>485775</xdr:colOff>
      <xdr:row>1</xdr:row>
      <xdr:rowOff>9525</xdr:rowOff>
    </xdr:from>
    <xdr:to>
      <xdr:col>17</xdr:col>
      <xdr:colOff>666525</xdr:colOff>
      <xdr:row>2</xdr:row>
      <xdr:rowOff>25500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8EF02BD0-5D69-4486-B9C6-BE638D69E0CE}"/>
            </a:ext>
          </a:extLst>
        </xdr:cNvPr>
        <xdr:cNvSpPr/>
      </xdr:nvSpPr>
      <xdr:spPr>
        <a:xfrm>
          <a:off x="13954125" y="219075"/>
          <a:ext cx="1800000" cy="216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</a:t>
          </a:r>
          <a:r>
            <a:rPr lang="fr-FR" sz="1400" baseline="0"/>
            <a:t> de la facture</a:t>
          </a:r>
        </a:p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826275</xdr:colOff>
      <xdr:row>8</xdr:row>
      <xdr:rowOff>0</xdr:rowOff>
    </xdr:from>
    <xdr:to>
      <xdr:col>1</xdr:col>
      <xdr:colOff>213600</xdr:colOff>
      <xdr:row>8</xdr:row>
      <xdr:rowOff>216000</xdr:rowOff>
    </xdr:to>
    <xdr:pic>
      <xdr:nvPicPr>
        <xdr:cNvPr id="2" name="Graphique 1" descr="Téléphone">
          <a:extLst>
            <a:ext uri="{FF2B5EF4-FFF2-40B4-BE49-F238E27FC236}">
              <a16:creationId xmlns:a16="http://schemas.microsoft.com/office/drawing/2014/main" id="{48FAB82B-2D26-4E5B-8594-A09CB3009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3825" y="21240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826275</xdr:colOff>
      <xdr:row>9</xdr:row>
      <xdr:rowOff>0</xdr:rowOff>
    </xdr:from>
    <xdr:to>
      <xdr:col>1</xdr:col>
      <xdr:colOff>213600</xdr:colOff>
      <xdr:row>9</xdr:row>
      <xdr:rowOff>216000</xdr:rowOff>
    </xdr:to>
    <xdr:pic>
      <xdr:nvPicPr>
        <xdr:cNvPr id="3" name="Graphique 2" descr="Courrier">
          <a:extLst>
            <a:ext uri="{FF2B5EF4-FFF2-40B4-BE49-F238E27FC236}">
              <a16:creationId xmlns:a16="http://schemas.microsoft.com/office/drawing/2014/main" id="{561D3168-76E0-4CFC-9764-A770DB121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73825" y="237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</xdr:row>
      <xdr:rowOff>114300</xdr:rowOff>
    </xdr:from>
    <xdr:to>
      <xdr:col>2</xdr:col>
      <xdr:colOff>582930</xdr:colOff>
      <xdr:row>3</xdr:row>
      <xdr:rowOff>245018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735E866-1572-4F6E-AD50-B5CA51E72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GlowDiffused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361950"/>
          <a:ext cx="1583055" cy="626018"/>
        </a:xfrm>
        <a:prstGeom prst="rect">
          <a:avLst/>
        </a:prstGeom>
      </xdr:spPr>
    </xdr:pic>
    <xdr:clientData/>
  </xdr:twoCellAnchor>
  <xdr:twoCellAnchor editAs="absolute">
    <xdr:from>
      <xdr:col>9</xdr:col>
      <xdr:colOff>752474</xdr:colOff>
      <xdr:row>0</xdr:row>
      <xdr:rowOff>161925</xdr:rowOff>
    </xdr:from>
    <xdr:to>
      <xdr:col>12</xdr:col>
      <xdr:colOff>217874</xdr:colOff>
      <xdr:row>2</xdr:row>
      <xdr:rowOff>26625</xdr:rowOff>
    </xdr:to>
    <xdr:sp macro="[0]!EnregistrementFac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2713B34-4D3E-433E-8F90-F48263DEF96F}"/>
            </a:ext>
          </a:extLst>
        </xdr:cNvPr>
        <xdr:cNvSpPr/>
      </xdr:nvSpPr>
      <xdr:spPr>
        <a:xfrm>
          <a:off x="9972674" y="161925"/>
          <a:ext cx="198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PDF</a:t>
          </a:r>
        </a:p>
      </xdr:txBody>
    </xdr:sp>
    <xdr:clientData fPrintsWithSheet="0"/>
  </xdr:twoCellAnchor>
  <xdr:twoCellAnchor editAs="absolute">
    <xdr:from>
      <xdr:col>9</xdr:col>
      <xdr:colOff>752474</xdr:colOff>
      <xdr:row>2</xdr:row>
      <xdr:rowOff>152400</xdr:rowOff>
    </xdr:from>
    <xdr:to>
      <xdr:col>12</xdr:col>
      <xdr:colOff>217874</xdr:colOff>
      <xdr:row>4</xdr:row>
      <xdr:rowOff>17100</xdr:rowOff>
    </xdr:to>
    <xdr:sp macro="[0]!ImpressionFactu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DC32482-236E-4BE3-B747-EA0FC9F8D31D}"/>
            </a:ext>
          </a:extLst>
        </xdr:cNvPr>
        <xdr:cNvSpPr/>
      </xdr:nvSpPr>
      <xdr:spPr>
        <a:xfrm>
          <a:off x="9972674" y="647700"/>
          <a:ext cx="198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Impression de la facture</a:t>
          </a:r>
        </a:p>
      </xdr:txBody>
    </xdr:sp>
    <xdr:clientData fPrintsWithSheet="0"/>
  </xdr:twoCellAnchor>
  <xdr:twoCellAnchor editAs="absolute">
    <xdr:from>
      <xdr:col>9</xdr:col>
      <xdr:colOff>752474</xdr:colOff>
      <xdr:row>4</xdr:row>
      <xdr:rowOff>123825</xdr:rowOff>
    </xdr:from>
    <xdr:to>
      <xdr:col>12</xdr:col>
      <xdr:colOff>217874</xdr:colOff>
      <xdr:row>5</xdr:row>
      <xdr:rowOff>236175</xdr:rowOff>
    </xdr:to>
    <xdr:sp macro="[0]!ArchiverFactu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F0185DF-A8B4-4B51-82C1-ECDA4C73B474}"/>
            </a:ext>
          </a:extLst>
        </xdr:cNvPr>
        <xdr:cNvSpPr/>
      </xdr:nvSpPr>
      <xdr:spPr>
        <a:xfrm>
          <a:off x="9972674" y="1114425"/>
          <a:ext cx="198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Archivage de la facture</a:t>
          </a:r>
        </a:p>
      </xdr:txBody>
    </xdr:sp>
    <xdr:clientData fPrintsWithSheet="0"/>
  </xdr:twoCellAnchor>
  <xdr:twoCellAnchor editAs="absolute">
    <xdr:from>
      <xdr:col>9</xdr:col>
      <xdr:colOff>752474</xdr:colOff>
      <xdr:row>5</xdr:row>
      <xdr:rowOff>361950</xdr:rowOff>
    </xdr:from>
    <xdr:to>
      <xdr:col>12</xdr:col>
      <xdr:colOff>217874</xdr:colOff>
      <xdr:row>7</xdr:row>
      <xdr:rowOff>83775</xdr:rowOff>
    </xdr:to>
    <xdr:sp macro="" textlink="">
      <xdr:nvSpPr>
        <xdr:cNvPr id="8" name="Rectangle : coin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9B8676E-DBDC-48D0-96FD-9ACB23222CD7}"/>
            </a:ext>
          </a:extLst>
        </xdr:cNvPr>
        <xdr:cNvSpPr/>
      </xdr:nvSpPr>
      <xdr:spPr>
        <a:xfrm>
          <a:off x="9972674" y="1600200"/>
          <a:ext cx="198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Récap facture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826275</xdr:colOff>
      <xdr:row>8</xdr:row>
      <xdr:rowOff>0</xdr:rowOff>
    </xdr:from>
    <xdr:to>
      <xdr:col>1</xdr:col>
      <xdr:colOff>213600</xdr:colOff>
      <xdr:row>8</xdr:row>
      <xdr:rowOff>216000</xdr:rowOff>
    </xdr:to>
    <xdr:pic>
      <xdr:nvPicPr>
        <xdr:cNvPr id="2" name="Graphique 1" descr="Téléphone">
          <a:extLst>
            <a:ext uri="{FF2B5EF4-FFF2-40B4-BE49-F238E27FC236}">
              <a16:creationId xmlns:a16="http://schemas.microsoft.com/office/drawing/2014/main" id="{E5DE8098-E4A5-48B2-A78A-8F46265BA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3825" y="212407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826275</xdr:colOff>
      <xdr:row>9</xdr:row>
      <xdr:rowOff>0</xdr:rowOff>
    </xdr:from>
    <xdr:to>
      <xdr:col>1</xdr:col>
      <xdr:colOff>213600</xdr:colOff>
      <xdr:row>9</xdr:row>
      <xdr:rowOff>216000</xdr:rowOff>
    </xdr:to>
    <xdr:pic>
      <xdr:nvPicPr>
        <xdr:cNvPr id="3" name="Graphique 2" descr="Courrier">
          <a:extLst>
            <a:ext uri="{FF2B5EF4-FFF2-40B4-BE49-F238E27FC236}">
              <a16:creationId xmlns:a16="http://schemas.microsoft.com/office/drawing/2014/main" id="{86F61C49-CB24-4506-8EF5-BB921A0CB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73825" y="2371725"/>
          <a:ext cx="216000" cy="216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1</xdr:row>
      <xdr:rowOff>114300</xdr:rowOff>
    </xdr:from>
    <xdr:to>
      <xdr:col>2</xdr:col>
      <xdr:colOff>582930</xdr:colOff>
      <xdr:row>3</xdr:row>
      <xdr:rowOff>245018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C44539C-4AFB-4647-B8ED-F1F97711B9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GlowDiffused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361950"/>
          <a:ext cx="1583055" cy="626018"/>
        </a:xfrm>
        <a:prstGeom prst="rect">
          <a:avLst/>
        </a:prstGeom>
      </xdr:spPr>
    </xdr:pic>
    <xdr:clientData/>
  </xdr:twoCellAnchor>
  <xdr:twoCellAnchor editAs="absolute">
    <xdr:from>
      <xdr:col>9</xdr:col>
      <xdr:colOff>752474</xdr:colOff>
      <xdr:row>0</xdr:row>
      <xdr:rowOff>161925</xdr:rowOff>
    </xdr:from>
    <xdr:to>
      <xdr:col>12</xdr:col>
      <xdr:colOff>397874</xdr:colOff>
      <xdr:row>2</xdr:row>
      <xdr:rowOff>26625</xdr:rowOff>
    </xdr:to>
    <xdr:sp macro="[0]!EnregistrementFacture_De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32A619E-7662-4C9E-91BB-5BAFFA779741}"/>
            </a:ext>
          </a:extLst>
        </xdr:cNvPr>
        <xdr:cNvSpPr/>
      </xdr:nvSpPr>
      <xdr:spPr>
        <a:xfrm>
          <a:off x="9972674" y="161925"/>
          <a:ext cx="21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PDF</a:t>
          </a:r>
        </a:p>
      </xdr:txBody>
    </xdr:sp>
    <xdr:clientData fPrintsWithSheet="0"/>
  </xdr:twoCellAnchor>
  <xdr:twoCellAnchor editAs="absolute">
    <xdr:from>
      <xdr:col>9</xdr:col>
      <xdr:colOff>752474</xdr:colOff>
      <xdr:row>2</xdr:row>
      <xdr:rowOff>152400</xdr:rowOff>
    </xdr:from>
    <xdr:to>
      <xdr:col>12</xdr:col>
      <xdr:colOff>397874</xdr:colOff>
      <xdr:row>4</xdr:row>
      <xdr:rowOff>17100</xdr:rowOff>
    </xdr:to>
    <xdr:sp macro="[0]!ImpressionFacture_De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FEE96B9-A361-433D-82CC-2DFBBED09151}"/>
            </a:ext>
          </a:extLst>
        </xdr:cNvPr>
        <xdr:cNvSpPr/>
      </xdr:nvSpPr>
      <xdr:spPr>
        <a:xfrm>
          <a:off x="9972674" y="647700"/>
          <a:ext cx="21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Impression de la facture</a:t>
          </a:r>
        </a:p>
      </xdr:txBody>
    </xdr:sp>
    <xdr:clientData fPrintsWithSheet="0"/>
  </xdr:twoCellAnchor>
  <xdr:twoCellAnchor editAs="absolute">
    <xdr:from>
      <xdr:col>9</xdr:col>
      <xdr:colOff>752474</xdr:colOff>
      <xdr:row>4</xdr:row>
      <xdr:rowOff>123825</xdr:rowOff>
    </xdr:from>
    <xdr:to>
      <xdr:col>12</xdr:col>
      <xdr:colOff>397874</xdr:colOff>
      <xdr:row>5</xdr:row>
      <xdr:rowOff>236175</xdr:rowOff>
    </xdr:to>
    <xdr:sp macro="[0]!ArchiverFacture_De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BB5646A4-739B-4ACE-ADB7-1B10E6F4D9EF}"/>
            </a:ext>
          </a:extLst>
        </xdr:cNvPr>
        <xdr:cNvSpPr/>
      </xdr:nvSpPr>
      <xdr:spPr>
        <a:xfrm>
          <a:off x="9972674" y="1114425"/>
          <a:ext cx="21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Archivage de la facture</a:t>
          </a:r>
        </a:p>
      </xdr:txBody>
    </xdr:sp>
    <xdr:clientData fPrintsWithSheet="0"/>
  </xdr:twoCellAnchor>
  <xdr:twoCellAnchor editAs="absolute">
    <xdr:from>
      <xdr:col>9</xdr:col>
      <xdr:colOff>752474</xdr:colOff>
      <xdr:row>5</xdr:row>
      <xdr:rowOff>361950</xdr:rowOff>
    </xdr:from>
    <xdr:to>
      <xdr:col>12</xdr:col>
      <xdr:colOff>397874</xdr:colOff>
      <xdr:row>7</xdr:row>
      <xdr:rowOff>83775</xdr:rowOff>
    </xdr:to>
    <xdr:sp macro="" textlink="">
      <xdr:nvSpPr>
        <xdr:cNvPr id="8" name="Rectangle : coins arrondis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9B2F65C-7B70-471B-90A2-293D2583FA78}"/>
            </a:ext>
          </a:extLst>
        </xdr:cNvPr>
        <xdr:cNvSpPr/>
      </xdr:nvSpPr>
      <xdr:spPr>
        <a:xfrm>
          <a:off x="9972674" y="1600200"/>
          <a:ext cx="2160000" cy="360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Récap facture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304799</xdr:colOff>
      <xdr:row>0</xdr:row>
      <xdr:rowOff>209549</xdr:rowOff>
    </xdr:from>
    <xdr:to>
      <xdr:col>10</xdr:col>
      <xdr:colOff>57899</xdr:colOff>
      <xdr:row>2</xdr:row>
      <xdr:rowOff>15974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FF8380-E134-49C6-8F2B-10FC32A22330}"/>
            </a:ext>
          </a:extLst>
        </xdr:cNvPr>
        <xdr:cNvSpPr/>
      </xdr:nvSpPr>
      <xdr:spPr>
        <a:xfrm>
          <a:off x="8353424" y="209549"/>
          <a:ext cx="1620000" cy="216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Facture</a:t>
          </a:r>
        </a:p>
      </xdr:txBody>
    </xdr:sp>
    <xdr:clientData/>
  </xdr:twoCellAnchor>
  <xdr:twoCellAnchor>
    <xdr:from>
      <xdr:col>10</xdr:col>
      <xdr:colOff>409574</xdr:colOff>
      <xdr:row>0</xdr:row>
      <xdr:rowOff>209549</xdr:rowOff>
    </xdr:from>
    <xdr:to>
      <xdr:col>12</xdr:col>
      <xdr:colOff>353174</xdr:colOff>
      <xdr:row>2</xdr:row>
      <xdr:rowOff>15974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E278A76-959F-45D0-AFFB-4EDADB3BAE6C}"/>
            </a:ext>
          </a:extLst>
        </xdr:cNvPr>
        <xdr:cNvSpPr/>
      </xdr:nvSpPr>
      <xdr:spPr>
        <a:xfrm>
          <a:off x="10325099" y="209549"/>
          <a:ext cx="1620000" cy="216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Facture suite devis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7617AFF-533F-48DA-AA1D-6A00D37A77F0}" autoFormatId="16" applyNumberFormats="0" applyBorderFormats="0" applyFontFormats="0" applyPatternFormats="0" applyAlignmentFormats="0" applyWidthHeightFormats="0">
  <queryTableRefresh nextId="6">
    <queryTableFields count="2">
      <queryTableField id="1" name="N° Devis" tableColumnId="1"/>
      <queryTableField id="2" name="Client" tableColumnId="2"/>
    </queryTableFields>
  </queryTableRefresh>
</queryTable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BD555BA-4F77-4594-B74F-D3F88E24FEA5}" name="T_Clients" displayName="T_Clients" ref="A6:L7" insertRow="1" totalsRowShown="0" headerRowDxfId="91">
  <autoFilter ref="A6:L7" xr:uid="{CF825DDF-E244-4900-B5DD-0BAC0C29BEA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C88477C0-49CB-4385-9332-9609E33DCEA8}" name="Code" dataDxfId="90"/>
    <tableColumn id="2" xr3:uid="{743CCAAB-E843-4390-8863-4060B9284E6E}" name="Civilité"/>
    <tableColumn id="3" xr3:uid="{4E448C26-1293-4235-9B08-6D636CC1D9CC}" name="Nom"/>
    <tableColumn id="4" xr3:uid="{F6A79D0C-15EE-4EED-A380-245BE41996BE}" name="Prénom"/>
    <tableColumn id="5" xr3:uid="{53A5C87C-6DC9-4368-A2BF-F279B3379D7E}" name="Adresse1"/>
    <tableColumn id="6" xr3:uid="{61C8AC7A-ACF5-4E42-88D0-FFDAF337B1D4}" name="Adresse2"/>
    <tableColumn id="7" xr3:uid="{4660224C-5E93-405B-BB7A-29A46E249330}" name="Adresse3"/>
    <tableColumn id="8" xr3:uid="{4749CE1F-B298-4375-92DD-E945EC214369}" name="CP" dataDxfId="89"/>
    <tableColumn id="9" xr3:uid="{CBE8A8E7-4AFD-4675-BF2B-A91F8AADBB49}" name="Ville"/>
    <tableColumn id="10" xr3:uid="{5131BAC5-3540-4F40-96E7-660384AC5D65}" name="Téléphone" dataDxfId="88"/>
    <tableColumn id="11" xr3:uid="{780BE300-A9AE-44A5-84F6-412FF2FEDE59}" name="Mail" dataDxfId="87"/>
    <tableColumn id="12" xr3:uid="{DF50280F-CDE7-4510-B434-BDF6A418CC4B}" name="Client">
      <calculatedColumnFormula>T_Clients[[#This Row],[Civilité]]&amp;" "&amp;T_Clients[[#This Row],[Nom]]&amp;" "&amp;T_Clients[[#This Row],[Prénom]]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64664BD-E8A4-4C06-AD2D-70DC1AB9F506}" name="T_Produits" displayName="T_Produits" ref="A6:C34" totalsRowShown="0" headerRowDxfId="85" dataDxfId="84">
  <autoFilter ref="A6:C34" xr:uid="{82CBF680-8B03-4998-8565-148E25187725}">
    <filterColumn colId="0" hiddenButton="1"/>
    <filterColumn colId="1" hiddenButton="1"/>
    <filterColumn colId="2" hiddenButton="1"/>
  </autoFilter>
  <tableColumns count="3">
    <tableColumn id="1" xr3:uid="{4AB90769-85C1-47FC-B8B7-C98CA182FD98}" name="Code" dataDxfId="83"/>
    <tableColumn id="2" xr3:uid="{625FD7E8-1A93-4745-99C7-A1F6EC886D54}" name="Produits" dataDxfId="82"/>
    <tableColumn id="3" xr3:uid="{A1AB5A21-C3DD-4DB9-BCE4-40D4D5EFA176}" name="PU" dataDxfId="8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E2B516-764E-4899-8154-90D0045CE186}" name="T_Devis" displayName="T_Devis" ref="B13:G29" totalsRowShown="0" headerRowDxfId="78" dataDxfId="76" headerRowBorderDxfId="77" tableBorderDxfId="75" totalsRowBorderDxfId="74">
  <autoFilter ref="B13:G29" xr:uid="{4F41A735-CB83-4980-B0F7-99624382D7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4291670-9977-462D-83C2-9755FAFD5E02}" name="Code" dataDxfId="73">
      <calculatedColumnFormula>IFERROR(INDEX(T_Produits[Code],MATCH(T_Devis[[#This Row],[Désignation]],T_Produits[Produits],0)),"")</calculatedColumnFormula>
    </tableColumn>
    <tableColumn id="2" xr3:uid="{F3CAE437-6FC3-4EE6-A883-0DC6893DE6AD}" name="Désignation" dataDxfId="72"/>
    <tableColumn id="3" xr3:uid="{889EC135-C997-40B6-8155-4AE7420073D9}" name="Quantité" dataDxfId="71"/>
    <tableColumn id="4" xr3:uid="{6B860960-3678-4FB7-868B-72F23401BA69}" name="PU" dataDxfId="70">
      <calculatedColumnFormula>IFERROR(INDEX(T_Produits[PU],MATCH(T_Devis[[#This Row],[Désignation]],T_Produits[Produits],0)),"")</calculatedColumnFormula>
    </tableColumn>
    <tableColumn id="5" xr3:uid="{CC1AE399-CF62-41EC-B4EE-BC21A1EE6E40}" name="Total" dataDxfId="69">
      <calculatedColumnFormula>IF(T_Devis[[#This Row],[Code]]&lt;&gt;"",T_Devis[[#This Row],[Quantité]]*T_Devis[[#This Row],[PU]],"")</calculatedColumnFormula>
    </tableColumn>
    <tableColumn id="6" xr3:uid="{A5020B55-3838-4D14-AE94-82A3E376BA4B}" name="TVA" dataDxfId="68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53135B-6130-4906-93ED-DA4E03E25C50}" name="T_RecapDevis" displayName="T_RecapDevis" ref="A6:M7" insertRow="1" totalsRowShown="0" headerRowDxfId="66">
  <tableColumns count="13">
    <tableColumn id="1" xr3:uid="{9CEC3D75-E6D2-405D-B63F-202051E1727F}" name="Date" dataDxfId="65"/>
    <tableColumn id="2" xr3:uid="{67B1A306-0C72-4B1D-ADDA-E279F1D5E5D1}" name="N° Devis" dataDxfId="64"/>
    <tableColumn id="3" xr3:uid="{A15ECFE6-65B6-4AC6-8449-5EB043B709B0}" name="Client"/>
    <tableColumn id="4" xr3:uid="{9A6A5E57-AC3C-4431-8CE7-80E05B064814}" name="Désignation" dataDxfId="63"/>
    <tableColumn id="5" xr3:uid="{04808E83-FD2C-432B-B9C8-5500EBCF4DE3}" name="Quantité" dataDxfId="62"/>
    <tableColumn id="6" xr3:uid="{8D611170-2412-4A13-887C-CFF0E5045BB6}" name="Prix unitaire" dataDxfId="61"/>
    <tableColumn id="7" xr3:uid="{E5351926-C9DD-404B-93FC-784825E7BFE7}" name="Total" dataDxfId="60">
      <calculatedColumnFormula>T_RecapDevis[[#This Row],[Quantité]]*T_RecapDevis[[#This Row],[Prix unitaire]]</calculatedColumnFormula>
    </tableColumn>
    <tableColumn id="8" xr3:uid="{6A8090A7-ACF0-40A8-9E4E-128204681384}" name="TVA" dataDxfId="59"/>
    <tableColumn id="10" xr3:uid="{8AA07BC6-5A38-46A1-B8FD-CEB4A8CC3CC7}" name="Acompte versé" dataDxfId="58"/>
    <tableColumn id="11" xr3:uid="{C0BA2381-81DD-420C-BACC-D65F247C23B5}" name="Date règlement" dataDxfId="57"/>
    <tableColumn id="12" xr3:uid="{6F6F773C-0745-4366-90D9-8DCA881EB44F}" name="Mode règlement" dataDxfId="56"/>
    <tableColumn id="9" xr3:uid="{73EFECF1-0F79-4A9C-9308-7F9F6DEC43E9}" name="vérif numérotation" dataDxfId="55">
      <calculatedColumnFormula>IFERROR(RIGHT(T_RecapDevis[[#This Row],[N° Devis]],3)*1,"")</calculatedColumnFormula>
    </tableColumn>
    <tableColumn id="13" xr3:uid="{AEF16108-915D-48F8-BD2C-43CF73185EC9}" name="Nb occurrence" dataDxfId="54">
      <calculatedColumnFormula>T_RecapDevis[[#This Row],[N° Devis]]&amp;COUNTIF($B$7:T_RecapDevis[[#This Row],[N° Devis]],T_RecapDevis[[#This Row],[N° Devis]])</calculatedColumnFormula>
    </tableColumn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DD2A9F-6C2A-492E-A143-943A8416F7FF}" name="T_Facture" displayName="T_Facture" ref="B13:G29" totalsRowShown="0" headerRowDxfId="51" dataDxfId="49" headerRowBorderDxfId="50" tableBorderDxfId="48" totalsRowBorderDxfId="47">
  <autoFilter ref="B13:G29" xr:uid="{4F41A735-CB83-4980-B0F7-99624382D7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68B78A0-5C72-48B4-89FE-20D5C0AB9FE0}" name="Code" dataDxfId="46">
      <calculatedColumnFormula>IFERROR(INDEX(T_Produits[Code],MATCH(T_Facture[[#This Row],[Désignation]],T_Produits[Produits],0)),"")</calculatedColumnFormula>
    </tableColumn>
    <tableColumn id="2" xr3:uid="{5CB871B0-34A6-4D31-964B-19041339288B}" name="Désignation" dataDxfId="45"/>
    <tableColumn id="3" xr3:uid="{DE5917F6-8EAC-4186-99EB-47BAB7272E67}" name="Quantité" dataDxfId="44"/>
    <tableColumn id="4" xr3:uid="{3C71D9FE-FE84-4CB4-89E0-FF855AED5A6A}" name="PU" dataDxfId="43">
      <calculatedColumnFormula>IFERROR(INDEX(T_Produits[PU],MATCH(T_Facture[[#This Row],[Désignation]],T_Produits[Produits],0)),"")</calculatedColumnFormula>
    </tableColumn>
    <tableColumn id="5" xr3:uid="{518DCA8E-088A-4B5A-B027-75068512EB63}" name="Total" dataDxfId="42">
      <calculatedColumnFormula>IF(T_Facture[[#This Row],[Code]]&lt;&gt;"",T_Facture[[#This Row],[Quantité]]*T_Facture[[#This Row],[PU]],"")</calculatedColumnFormula>
    </tableColumn>
    <tableColumn id="6" xr3:uid="{69F0CB66-CFD6-4F04-913C-8A69EFB3F5B2}" name="TVA" dataDxfId="41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8162506-090A-407F-9BCC-E43A84D76932}" name="T_Facture_Devis" displayName="T_Facture_Devis" ref="B13:G29" totalsRowShown="0" headerRowDxfId="38" dataDxfId="36" headerRowBorderDxfId="37" tableBorderDxfId="35" totalsRowBorderDxfId="34">
  <autoFilter ref="B13:G29" xr:uid="{4F41A735-CB83-4980-B0F7-99624382D71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2FF6E17-3C46-4253-99AA-5B282160EE96}" name="Code" dataDxfId="33">
      <calculatedColumnFormula>IFERROR(INDEX(T_Produits[Code],MATCH(T_Facture_Devis[[#This Row],[Désignation]],T_Produits[Produits],0)),"")</calculatedColumnFormula>
    </tableColumn>
    <tableColumn id="2" xr3:uid="{21AAD097-71EE-4871-9CE2-D924D3666E9F}" name="Désignation" dataDxfId="32">
      <calculatedColumnFormula>IFERROR(INDEX(T_RecapDevis[Désignation],MATCH('Facture (Suite devis)'!$C$41&amp;ROW()-13,T_RecapDevis[Nb occurrence],0)),"")</calculatedColumnFormula>
    </tableColumn>
    <tableColumn id="3" xr3:uid="{CB261E15-875A-4054-BCDB-1224770F766F}" name="Quantité" dataDxfId="31">
      <calculatedColumnFormula>IFERROR(INDEX(T_RecapDevis[Quantité],MATCH('Facture (Suite devis)'!$C$41&amp;ROW()-13,T_RecapDevis[Nb occurrence],0)),0)</calculatedColumnFormula>
    </tableColumn>
    <tableColumn id="4" xr3:uid="{88A4DAF8-E70B-434B-B364-F21089EEAEE7}" name="PU" dataDxfId="30">
      <calculatedColumnFormula>IFERROR(INDEX(T_Produits[PU],MATCH(T_Facture_Devis[[#This Row],[Désignation]],T_Produits[Produits],0)),"")</calculatedColumnFormula>
    </tableColumn>
    <tableColumn id="5" xr3:uid="{37D67328-1ACD-424E-922E-A10FE1310469}" name="Total" dataDxfId="29">
      <calculatedColumnFormula>IF(T_Facture_Devis[[#This Row],[Code]]&lt;&gt;"",T_Facture_Devis[[#This Row],[Quantité]]*T_Facture_Devis[[#This Row],[PU]],"")</calculatedColumnFormula>
    </tableColumn>
    <tableColumn id="6" xr3:uid="{E7355A95-F542-4CB7-9A3D-E8E699B003F3}" name="TVA" dataDxfId="28">
      <calculatedColumnFormula>IFERROR(INDEX(T_RecapDevis[TVA],MATCH('Facture (Suite devis)'!$C$41&amp;ROW()-13,T_RecapDevis[Nb occurrence],0)),"")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1DD94F8-7235-4603-9BDB-0B297E85AC5C}" name="T_Recap_Facture" displayName="T_Recap_Facture" ref="A6:J7" insertRow="1" totalsRowShown="0" headerRowDxfId="26">
  <autoFilter ref="A6:J7" xr:uid="{FBCC3507-DF84-42F2-A520-9451E7EE142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D993D62C-A078-4643-AEB8-F1993AFD0F7A}" name="Date" dataDxfId="25"/>
    <tableColumn id="2" xr3:uid="{88F4DEA3-C3AA-4B1C-88C6-F87956A857BD}" name="N° Facture" dataDxfId="24"/>
    <tableColumn id="3" xr3:uid="{A6B7816F-04B6-4CCB-9514-FF2D72EB145E}" name="Client"/>
    <tableColumn id="4" xr3:uid="{C304580A-71F9-41F5-8CD6-D09EC021699E}" name="Désignation" dataDxfId="23"/>
    <tableColumn id="5" xr3:uid="{3E7A457F-1E19-432E-B248-4E21731C19FA}" name="Quantité" dataDxfId="22"/>
    <tableColumn id="6" xr3:uid="{67544851-518E-49DD-A1E9-DB856426BE49}" name="Prix unitaire" dataDxfId="21"/>
    <tableColumn id="9" xr3:uid="{57CE675F-3B13-421B-B759-CDA5BAC2AF0F}" name="Total" dataDxfId="20">
      <calculatedColumnFormula>T_Recap_Facture[[#This Row],[Prix unitaire]]*T_Recap_Facture[[#This Row],[Quantité]]</calculatedColumnFormula>
    </tableColumn>
    <tableColumn id="7" xr3:uid="{4D3726D0-47A9-4623-8329-27B14CF7F2DD}" name="TVA" dataDxfId="19"/>
    <tableColumn id="8" xr3:uid="{3882ED4A-A97E-40B1-9523-4771FAE51A41}" name="Acompte" dataDxfId="18"/>
    <tableColumn id="10" xr3:uid="{79029B7F-E193-4465-BD2D-258ABD826214}" name="vérif numérotation" dataDxfId="17">
      <calculatedColumnFormula>IF(T_Recap_Facture[[#This Row],[N° Facture]]="",0,RIGHT(T_Recap_Facture[[#This Row],[N° Facture]],3))*1</calculatedColumnFormula>
    </tableColumn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CE44DB-37D3-403E-8F69-DFE10DCE110A}" name="T_TVA" displayName="T_TVA" ref="A1:A4" totalsRowShown="0" headerRowDxfId="16" dataDxfId="15">
  <autoFilter ref="A1:A4" xr:uid="{6DE0A10F-AA59-4378-90A5-46F4FF2BA605}">
    <filterColumn colId="0" hiddenButton="1"/>
  </autoFilter>
  <tableColumns count="1">
    <tableColumn id="1" xr3:uid="{0EEE1FD9-130B-4EDA-98A8-9B2AC08B0B0B}" name="TVA" dataDxfId="14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413E99-E292-4F47-889D-086B411B7E1D}" name="T_Civilite" displayName="T_Civilite" ref="C1:C3" totalsRowShown="0" headerRowDxfId="13" dataDxfId="12">
  <autoFilter ref="C1:C3" xr:uid="{FC705283-E645-456E-A164-D11921E617BB}">
    <filterColumn colId="0" hiddenButton="1"/>
  </autoFilter>
  <tableColumns count="1">
    <tableColumn id="1" xr3:uid="{A4D740DD-60DC-4A79-BB53-2E0D4C2B6D53}" name="Civilité" dataDxfId="11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49B74A0-2B62-4CB9-AC3C-3F4CE622C56E}" name="T_Chrono" displayName="T_Chrono" ref="E1:F3" totalsRowShown="0" headerRowDxfId="10" dataDxfId="9">
  <autoFilter ref="E1:F3" xr:uid="{4338AA8D-E32F-4DAF-A005-7AC342BE0F02}">
    <filterColumn colId="0" hiddenButton="1"/>
    <filterColumn colId="1" hiddenButton="1"/>
  </autoFilter>
  <tableColumns count="2">
    <tableColumn id="1" xr3:uid="{E23FD16E-9508-48D3-9028-0BEEDBA89E35}" name="Chrono" dataDxfId="8"/>
    <tableColumn id="2" xr3:uid="{7F158E0A-228C-4A07-96A9-9B984ED88705}" name="N°" dataDxfId="7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4AC8556-0E4E-42E1-A5F0-DC09707A9B55}" name="T_Reglement" displayName="T_Reglement" ref="H1:H5" totalsRowShown="0" headerRowDxfId="6" dataDxfId="5">
  <autoFilter ref="H1:H5" xr:uid="{52CA03BD-11E4-4440-8C8B-F19460703003}">
    <filterColumn colId="0" hiddenButton="1"/>
  </autoFilter>
  <sortState xmlns:xlrd2="http://schemas.microsoft.com/office/spreadsheetml/2017/richdata2" ref="H2:H5">
    <sortCondition ref="H2"/>
  </sortState>
  <tableColumns count="1">
    <tableColumn id="1" xr3:uid="{AD216DFA-9A74-499F-8664-B3FA692B5EDD}" name="Mode règlement" dataDxfId="4"/>
  </tableColumns>
  <tableStyleInfo name="TableStyleLight1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863D988-A7FA-4D37-9089-2C08E583A955}" name="T_ListeDevisClients" displayName="T_ListeDevisClients" ref="J1:K2" tableType="queryTable" insertRow="1" totalsRowShown="0" headerRowDxfId="3" dataDxfId="2">
  <autoFilter ref="J1:K2" xr:uid="{0ED0BA20-201F-43E0-9CC4-2F6484D737E3}">
    <filterColumn colId="0" hiddenButton="1"/>
    <filterColumn colId="1" hiddenButton="1"/>
  </autoFilter>
  <tableColumns count="2">
    <tableColumn id="1" xr3:uid="{AE99A321-7CB4-4534-ACDA-9CAEB543BDCD}" uniqueName="1" name="N° Devis" queryTableFieldId="1" dataDxfId="1"/>
    <tableColumn id="2" xr3:uid="{BF86B3BE-8CCE-4944-95A7-6B6EE6FE990C}" uniqueName="2" name="Client" queryTableFieldId="2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youtube.com/watch?v=lEoV-ibiE7w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A979-6890-41C5-8E0E-E2167DD531CB}">
  <sheetPr codeName="Feuil8"/>
  <dimension ref="A1:C418"/>
  <sheetViews>
    <sheetView showGridLines="0" tabSelected="1" workbookViewId="0">
      <selection activeCell="A265" sqref="A265"/>
    </sheetView>
  </sheetViews>
  <sheetFormatPr baseColWidth="10" defaultRowHeight="16.8" x14ac:dyDescent="0.4"/>
  <cols>
    <col min="1" max="1" width="19.09765625" style="101" bestFit="1" customWidth="1"/>
    <col min="2" max="2" width="65" bestFit="1" customWidth="1"/>
    <col min="3" max="3" width="117.09765625" customWidth="1"/>
    <col min="4" max="4" width="106.8984375" bestFit="1" customWidth="1"/>
  </cols>
  <sheetData>
    <row r="1" spans="1:3" x14ac:dyDescent="0.4">
      <c r="A1" s="102"/>
      <c r="B1" s="103"/>
      <c r="C1" s="103"/>
    </row>
    <row r="2" spans="1:3" x14ac:dyDescent="0.4">
      <c r="A2" s="104"/>
      <c r="B2" s="105" t="s">
        <v>157</v>
      </c>
      <c r="C2" s="106" t="s">
        <v>158</v>
      </c>
    </row>
    <row r="3" spans="1:3" x14ac:dyDescent="0.4">
      <c r="A3" s="104"/>
      <c r="B3" s="105" t="s">
        <v>159</v>
      </c>
      <c r="C3" s="106"/>
    </row>
    <row r="4" spans="1:3" x14ac:dyDescent="0.4">
      <c r="A4" s="108"/>
      <c r="B4" s="109"/>
      <c r="C4" s="109"/>
    </row>
    <row r="5" spans="1:3" x14ac:dyDescent="0.4">
      <c r="A5" s="102" t="s">
        <v>111</v>
      </c>
      <c r="B5" s="103" t="s">
        <v>112</v>
      </c>
      <c r="C5" s="103"/>
    </row>
    <row r="6" spans="1:3" x14ac:dyDescent="0.4">
      <c r="A6" s="125" t="s">
        <v>111</v>
      </c>
      <c r="B6" s="106" t="s">
        <v>113</v>
      </c>
      <c r="C6" s="106"/>
    </row>
    <row r="7" spans="1:3" x14ac:dyDescent="0.4">
      <c r="A7" s="108"/>
      <c r="B7" s="109"/>
      <c r="C7" s="109"/>
    </row>
    <row r="8" spans="1:3" x14ac:dyDescent="0.4">
      <c r="A8" s="102" t="s">
        <v>114</v>
      </c>
      <c r="B8" s="103" t="s">
        <v>115</v>
      </c>
      <c r="C8" s="103"/>
    </row>
    <row r="9" spans="1:3" x14ac:dyDescent="0.4">
      <c r="A9" s="125" t="s">
        <v>114</v>
      </c>
      <c r="B9" s="106" t="s">
        <v>116</v>
      </c>
      <c r="C9" s="106"/>
    </row>
    <row r="10" spans="1:3" x14ac:dyDescent="0.4">
      <c r="A10" s="108"/>
      <c r="B10" s="109"/>
      <c r="C10" s="109"/>
    </row>
    <row r="11" spans="1:3" x14ac:dyDescent="0.4">
      <c r="A11" s="102" t="s">
        <v>58</v>
      </c>
      <c r="B11" s="103" t="s">
        <v>117</v>
      </c>
      <c r="C11" s="110" t="s">
        <v>129</v>
      </c>
    </row>
    <row r="12" spans="1:3" x14ac:dyDescent="0.4">
      <c r="A12" s="125" t="s">
        <v>58</v>
      </c>
      <c r="B12" s="111" t="s">
        <v>119</v>
      </c>
      <c r="C12" s="111" t="s">
        <v>121</v>
      </c>
    </row>
    <row r="13" spans="1:3" x14ac:dyDescent="0.4">
      <c r="A13" s="104"/>
      <c r="B13" s="112"/>
      <c r="C13" s="112" t="s">
        <v>120</v>
      </c>
    </row>
    <row r="14" spans="1:3" x14ac:dyDescent="0.4">
      <c r="A14" s="104"/>
      <c r="B14" s="106" t="s">
        <v>118</v>
      </c>
      <c r="C14" s="106"/>
    </row>
    <row r="15" spans="1:3" x14ac:dyDescent="0.4">
      <c r="A15" s="104"/>
      <c r="B15" s="106" t="s">
        <v>122</v>
      </c>
      <c r="C15" s="106"/>
    </row>
    <row r="16" spans="1:3" x14ac:dyDescent="0.4">
      <c r="A16" s="104"/>
      <c r="B16" s="106" t="s">
        <v>123</v>
      </c>
      <c r="C16" s="106"/>
    </row>
    <row r="17" spans="1:3" x14ac:dyDescent="0.4">
      <c r="A17" s="108"/>
      <c r="B17" s="109"/>
      <c r="C17" s="109"/>
    </row>
    <row r="18" spans="1:3" x14ac:dyDescent="0.4">
      <c r="A18" s="102" t="s">
        <v>124</v>
      </c>
      <c r="B18" s="103" t="s">
        <v>125</v>
      </c>
      <c r="C18" s="103"/>
    </row>
    <row r="19" spans="1:3" x14ac:dyDescent="0.4">
      <c r="A19" s="125" t="s">
        <v>124</v>
      </c>
      <c r="B19" s="106" t="s">
        <v>126</v>
      </c>
      <c r="C19" s="106"/>
    </row>
    <row r="20" spans="1:3" x14ac:dyDescent="0.4">
      <c r="A20" s="104"/>
      <c r="B20" s="106" t="s">
        <v>136</v>
      </c>
      <c r="C20" s="106"/>
    </row>
    <row r="21" spans="1:3" x14ac:dyDescent="0.4">
      <c r="A21" s="104"/>
      <c r="B21" s="106" t="s">
        <v>137</v>
      </c>
      <c r="C21" s="106"/>
    </row>
    <row r="22" spans="1:3" x14ac:dyDescent="0.4">
      <c r="A22" s="108"/>
      <c r="B22" s="109"/>
      <c r="C22" s="109"/>
    </row>
    <row r="23" spans="1:3" x14ac:dyDescent="0.4">
      <c r="A23" s="102" t="s">
        <v>59</v>
      </c>
      <c r="B23" s="110" t="s">
        <v>117</v>
      </c>
      <c r="C23" s="110" t="s">
        <v>129</v>
      </c>
    </row>
    <row r="24" spans="1:3" x14ac:dyDescent="0.4">
      <c r="A24" s="124" t="s">
        <v>59</v>
      </c>
      <c r="B24" s="111" t="s">
        <v>119</v>
      </c>
      <c r="C24" s="111" t="s">
        <v>127</v>
      </c>
    </row>
    <row r="25" spans="1:3" x14ac:dyDescent="0.4">
      <c r="A25" s="104"/>
      <c r="B25" s="112"/>
      <c r="C25" s="112" t="s">
        <v>120</v>
      </c>
    </row>
    <row r="26" spans="1:3" x14ac:dyDescent="0.4">
      <c r="A26" s="104"/>
      <c r="B26" s="106" t="s">
        <v>118</v>
      </c>
      <c r="C26" s="106"/>
    </row>
    <row r="27" spans="1:3" x14ac:dyDescent="0.4">
      <c r="A27" s="104"/>
      <c r="B27" s="106" t="s">
        <v>128</v>
      </c>
      <c r="C27" s="106"/>
    </row>
    <row r="28" spans="1:3" x14ac:dyDescent="0.4">
      <c r="A28" s="104"/>
      <c r="B28" s="106" t="s">
        <v>123</v>
      </c>
      <c r="C28" s="106"/>
    </row>
    <row r="29" spans="1:3" x14ac:dyDescent="0.4">
      <c r="A29" s="108"/>
      <c r="B29" s="109"/>
      <c r="C29" s="109"/>
    </row>
    <row r="30" spans="1:3" x14ac:dyDescent="0.4">
      <c r="A30" s="102" t="s">
        <v>173</v>
      </c>
      <c r="B30" s="110" t="s">
        <v>130</v>
      </c>
      <c r="C30" s="110" t="s">
        <v>129</v>
      </c>
    </row>
    <row r="31" spans="1:3" x14ac:dyDescent="0.4">
      <c r="A31" s="125" t="s">
        <v>173</v>
      </c>
      <c r="B31" s="111" t="s">
        <v>119</v>
      </c>
      <c r="C31" s="111" t="s">
        <v>131</v>
      </c>
    </row>
    <row r="32" spans="1:3" x14ac:dyDescent="0.4">
      <c r="A32" s="104"/>
      <c r="B32" s="112"/>
      <c r="C32" s="112" t="s">
        <v>120</v>
      </c>
    </row>
    <row r="33" spans="1:3" x14ac:dyDescent="0.4">
      <c r="A33" s="104"/>
      <c r="B33" s="106" t="s">
        <v>118</v>
      </c>
      <c r="C33" s="106"/>
    </row>
    <row r="34" spans="1:3" x14ac:dyDescent="0.4">
      <c r="A34" s="104"/>
      <c r="B34" s="106" t="s">
        <v>128</v>
      </c>
      <c r="C34" s="106"/>
    </row>
    <row r="35" spans="1:3" x14ac:dyDescent="0.4">
      <c r="A35" s="104"/>
      <c r="B35" s="106" t="s">
        <v>123</v>
      </c>
      <c r="C35" s="106"/>
    </row>
    <row r="36" spans="1:3" x14ac:dyDescent="0.4">
      <c r="A36" s="108"/>
      <c r="B36" s="109"/>
      <c r="C36" s="109"/>
    </row>
    <row r="37" spans="1:3" x14ac:dyDescent="0.4">
      <c r="A37" s="102" t="s">
        <v>132</v>
      </c>
      <c r="B37" s="103" t="s">
        <v>133</v>
      </c>
      <c r="C37" s="103"/>
    </row>
    <row r="38" spans="1:3" x14ac:dyDescent="0.4">
      <c r="A38" s="125" t="s">
        <v>132</v>
      </c>
      <c r="B38" s="106" t="s">
        <v>134</v>
      </c>
      <c r="C38" s="106"/>
    </row>
    <row r="39" spans="1:3" x14ac:dyDescent="0.4">
      <c r="A39" s="104"/>
      <c r="B39" s="106" t="s">
        <v>138</v>
      </c>
      <c r="C39" s="106"/>
    </row>
    <row r="40" spans="1:3" x14ac:dyDescent="0.4">
      <c r="A40" s="104"/>
      <c r="B40" s="106" t="s">
        <v>135</v>
      </c>
      <c r="C40" s="106"/>
    </row>
    <row r="41" spans="1:3" x14ac:dyDescent="0.4">
      <c r="A41" s="108"/>
      <c r="B41" s="109"/>
      <c r="C41" s="109"/>
    </row>
    <row r="42" spans="1:3" x14ac:dyDescent="0.4">
      <c r="A42" s="104" t="s">
        <v>139</v>
      </c>
      <c r="B42" s="106" t="s">
        <v>140</v>
      </c>
      <c r="C42" s="106"/>
    </row>
    <row r="43" spans="1:3" x14ac:dyDescent="0.4">
      <c r="A43" s="124" t="s">
        <v>139</v>
      </c>
      <c r="B43" s="106" t="s">
        <v>149</v>
      </c>
      <c r="C43" s="106"/>
    </row>
    <row r="44" spans="1:3" x14ac:dyDescent="0.4">
      <c r="A44" s="104"/>
      <c r="B44" s="111" t="s">
        <v>141</v>
      </c>
      <c r="C44" s="111" t="s">
        <v>145</v>
      </c>
    </row>
    <row r="45" spans="1:3" x14ac:dyDescent="0.4">
      <c r="A45" s="104"/>
      <c r="B45" s="106"/>
      <c r="C45" s="107" t="s">
        <v>148</v>
      </c>
    </row>
    <row r="46" spans="1:3" x14ac:dyDescent="0.4">
      <c r="A46" s="104"/>
      <c r="B46" s="112"/>
      <c r="C46" s="112" t="s">
        <v>144</v>
      </c>
    </row>
    <row r="47" spans="1:3" x14ac:dyDescent="0.4">
      <c r="A47" s="104"/>
      <c r="B47" s="111" t="s">
        <v>142</v>
      </c>
      <c r="C47" s="111" t="s">
        <v>146</v>
      </c>
    </row>
    <row r="48" spans="1:3" x14ac:dyDescent="0.4">
      <c r="A48" s="104"/>
      <c r="B48" s="106"/>
      <c r="C48" s="106" t="s">
        <v>143</v>
      </c>
    </row>
    <row r="49" spans="1:3" x14ac:dyDescent="0.4">
      <c r="A49" s="104"/>
      <c r="B49" s="112"/>
      <c r="C49" s="112" t="s">
        <v>147</v>
      </c>
    </row>
    <row r="50" spans="1:3" x14ac:dyDescent="0.4">
      <c r="A50" s="104"/>
      <c r="B50" s="144" t="s">
        <v>150</v>
      </c>
      <c r="C50" s="106"/>
    </row>
    <row r="51" spans="1:3" x14ac:dyDescent="0.4">
      <c r="A51" s="104"/>
      <c r="B51" s="106" t="s">
        <v>151</v>
      </c>
      <c r="C51" s="111" t="s">
        <v>152</v>
      </c>
    </row>
    <row r="52" spans="1:3" x14ac:dyDescent="0.4">
      <c r="A52" s="104"/>
      <c r="B52" s="106"/>
      <c r="C52" s="106" t="s">
        <v>153</v>
      </c>
    </row>
    <row r="53" spans="1:3" x14ac:dyDescent="0.4">
      <c r="A53" s="104"/>
      <c r="B53" s="106"/>
      <c r="C53" s="106" t="s">
        <v>154</v>
      </c>
    </row>
    <row r="54" spans="1:3" x14ac:dyDescent="0.4">
      <c r="A54" s="104"/>
      <c r="B54" s="106"/>
      <c r="C54" s="106" t="s">
        <v>155</v>
      </c>
    </row>
    <row r="55" spans="1:3" x14ac:dyDescent="0.4">
      <c r="A55" s="108"/>
      <c r="B55" s="109"/>
      <c r="C55" s="109" t="s">
        <v>156</v>
      </c>
    </row>
    <row r="93" spans="1:2" x14ac:dyDescent="0.4">
      <c r="A93" s="170" t="s">
        <v>170</v>
      </c>
      <c r="B93" s="171"/>
    </row>
    <row r="94" spans="1:2" x14ac:dyDescent="0.4">
      <c r="A94" s="102" t="s">
        <v>111</v>
      </c>
      <c r="B94" s="115" t="s">
        <v>160</v>
      </c>
    </row>
    <row r="95" spans="1:2" x14ac:dyDescent="0.4">
      <c r="A95" s="125" t="s">
        <v>111</v>
      </c>
      <c r="B95" s="116" t="s">
        <v>162</v>
      </c>
    </row>
    <row r="96" spans="1:2" x14ac:dyDescent="0.4">
      <c r="A96" s="104"/>
      <c r="B96" s="107" t="s">
        <v>161</v>
      </c>
    </row>
    <row r="97" spans="1:2" x14ac:dyDescent="0.4">
      <c r="A97" s="108"/>
      <c r="B97" s="109"/>
    </row>
    <row r="98" spans="1:2" x14ac:dyDescent="0.4">
      <c r="A98" s="102" t="s">
        <v>114</v>
      </c>
      <c r="B98" s="115" t="s">
        <v>163</v>
      </c>
    </row>
    <row r="99" spans="1:2" x14ac:dyDescent="0.4">
      <c r="A99" s="125" t="s">
        <v>114</v>
      </c>
      <c r="B99" s="116" t="s">
        <v>162</v>
      </c>
    </row>
    <row r="100" spans="1:2" x14ac:dyDescent="0.4">
      <c r="A100" s="104"/>
      <c r="B100" s="107" t="s">
        <v>164</v>
      </c>
    </row>
    <row r="101" spans="1:2" x14ac:dyDescent="0.4">
      <c r="A101" s="108"/>
      <c r="B101" s="109"/>
    </row>
    <row r="102" spans="1:2" x14ac:dyDescent="0.4">
      <c r="A102" s="102" t="s">
        <v>58</v>
      </c>
      <c r="B102" s="115" t="s">
        <v>165</v>
      </c>
    </row>
    <row r="103" spans="1:2" x14ac:dyDescent="0.4">
      <c r="A103" s="125" t="s">
        <v>58</v>
      </c>
      <c r="B103" s="117" t="s">
        <v>167</v>
      </c>
    </row>
    <row r="104" spans="1:2" x14ac:dyDescent="0.4">
      <c r="A104" s="104"/>
      <c r="B104" s="107" t="s">
        <v>166</v>
      </c>
    </row>
    <row r="105" spans="1:2" x14ac:dyDescent="0.4">
      <c r="A105" s="104"/>
      <c r="B105" s="112"/>
    </row>
    <row r="106" spans="1:2" x14ac:dyDescent="0.4">
      <c r="A106" s="104"/>
      <c r="B106" s="107" t="s">
        <v>168</v>
      </c>
    </row>
    <row r="107" spans="1:2" x14ac:dyDescent="0.4">
      <c r="A107" s="104"/>
      <c r="B107" s="118" t="s">
        <v>169</v>
      </c>
    </row>
    <row r="108" spans="1:2" x14ac:dyDescent="0.4">
      <c r="A108" s="104"/>
      <c r="B108" s="107" t="s">
        <v>166</v>
      </c>
    </row>
    <row r="109" spans="1:2" x14ac:dyDescent="0.4">
      <c r="A109" s="108"/>
      <c r="B109" s="109"/>
    </row>
    <row r="110" spans="1:2" x14ac:dyDescent="0.4">
      <c r="A110" s="102" t="s">
        <v>124</v>
      </c>
      <c r="B110" s="115" t="s">
        <v>171</v>
      </c>
    </row>
    <row r="111" spans="1:2" x14ac:dyDescent="0.4">
      <c r="A111" s="125" t="s">
        <v>124</v>
      </c>
      <c r="B111" s="116" t="s">
        <v>162</v>
      </c>
    </row>
    <row r="112" spans="1:2" x14ac:dyDescent="0.4">
      <c r="A112" s="104"/>
      <c r="B112" s="107" t="s">
        <v>172</v>
      </c>
    </row>
    <row r="113" spans="1:2" x14ac:dyDescent="0.4">
      <c r="A113" s="108"/>
      <c r="B113" s="109"/>
    </row>
    <row r="114" spans="1:2" x14ac:dyDescent="0.4">
      <c r="A114" s="102" t="s">
        <v>59</v>
      </c>
      <c r="B114" s="115" t="s">
        <v>165</v>
      </c>
    </row>
    <row r="115" spans="1:2" x14ac:dyDescent="0.4">
      <c r="A115" s="124" t="s">
        <v>59</v>
      </c>
      <c r="B115" s="117" t="s">
        <v>167</v>
      </c>
    </row>
    <row r="116" spans="1:2" x14ac:dyDescent="0.4">
      <c r="A116" s="104"/>
      <c r="B116" s="107" t="s">
        <v>166</v>
      </c>
    </row>
    <row r="117" spans="1:2" x14ac:dyDescent="0.4">
      <c r="A117" s="104"/>
      <c r="B117" s="112"/>
    </row>
    <row r="118" spans="1:2" x14ac:dyDescent="0.4">
      <c r="A118" s="104"/>
      <c r="B118" s="107" t="s">
        <v>168</v>
      </c>
    </row>
    <row r="119" spans="1:2" x14ac:dyDescent="0.4">
      <c r="A119" s="104"/>
      <c r="B119" s="118" t="s">
        <v>169</v>
      </c>
    </row>
    <row r="120" spans="1:2" x14ac:dyDescent="0.4">
      <c r="A120" s="104"/>
      <c r="B120" s="107" t="s">
        <v>166</v>
      </c>
    </row>
    <row r="121" spans="1:2" x14ac:dyDescent="0.4">
      <c r="A121" s="108"/>
      <c r="B121" s="109"/>
    </row>
    <row r="122" spans="1:2" x14ac:dyDescent="0.4">
      <c r="A122" s="102" t="s">
        <v>173</v>
      </c>
      <c r="B122" s="115" t="s">
        <v>165</v>
      </c>
    </row>
    <row r="123" spans="1:2" x14ac:dyDescent="0.4">
      <c r="A123" s="125" t="s">
        <v>173</v>
      </c>
      <c r="B123" s="117" t="s">
        <v>167</v>
      </c>
    </row>
    <row r="124" spans="1:2" x14ac:dyDescent="0.4">
      <c r="A124" s="104"/>
      <c r="B124" s="107" t="s">
        <v>166</v>
      </c>
    </row>
    <row r="125" spans="1:2" x14ac:dyDescent="0.4">
      <c r="A125" s="104"/>
      <c r="B125" s="112"/>
    </row>
    <row r="126" spans="1:2" x14ac:dyDescent="0.4">
      <c r="A126" s="104"/>
      <c r="B126" s="107" t="s">
        <v>168</v>
      </c>
    </row>
    <row r="127" spans="1:2" x14ac:dyDescent="0.4">
      <c r="A127" s="104"/>
      <c r="B127" s="118" t="s">
        <v>169</v>
      </c>
    </row>
    <row r="128" spans="1:2" x14ac:dyDescent="0.4">
      <c r="A128" s="104"/>
      <c r="B128" s="107" t="s">
        <v>166</v>
      </c>
    </row>
    <row r="129" spans="1:3" x14ac:dyDescent="0.4">
      <c r="A129" s="108"/>
      <c r="B129" s="109"/>
    </row>
    <row r="130" spans="1:3" x14ac:dyDescent="0.4">
      <c r="A130" s="104" t="s">
        <v>132</v>
      </c>
      <c r="B130" s="107" t="s">
        <v>171</v>
      </c>
    </row>
    <row r="131" spans="1:3" x14ac:dyDescent="0.4">
      <c r="A131" s="125" t="s">
        <v>132</v>
      </c>
      <c r="B131" s="116" t="s">
        <v>162</v>
      </c>
    </row>
    <row r="132" spans="1:3" x14ac:dyDescent="0.4">
      <c r="A132" s="108"/>
      <c r="B132" s="119" t="s">
        <v>174</v>
      </c>
    </row>
    <row r="134" spans="1:3" x14ac:dyDescent="0.4">
      <c r="A134" s="172" t="s">
        <v>175</v>
      </c>
      <c r="B134" s="172"/>
      <c r="C134" s="172"/>
    </row>
    <row r="135" spans="1:3" x14ac:dyDescent="0.4">
      <c r="A135" s="102" t="s">
        <v>58</v>
      </c>
      <c r="B135" s="110" t="s">
        <v>176</v>
      </c>
      <c r="C135" s="110" t="s">
        <v>177</v>
      </c>
    </row>
    <row r="136" spans="1:3" x14ac:dyDescent="0.4">
      <c r="A136" s="125" t="s">
        <v>58</v>
      </c>
      <c r="B136" s="144" t="s">
        <v>178</v>
      </c>
      <c r="C136" s="144" t="s">
        <v>179</v>
      </c>
    </row>
    <row r="137" spans="1:3" x14ac:dyDescent="0.4">
      <c r="A137" s="104"/>
      <c r="B137" s="144" t="s">
        <v>180</v>
      </c>
      <c r="C137" s="144" t="s">
        <v>181</v>
      </c>
    </row>
    <row r="138" spans="1:3" x14ac:dyDescent="0.4">
      <c r="A138" s="104"/>
      <c r="B138" s="144" t="s">
        <v>182</v>
      </c>
      <c r="C138" s="144" t="s">
        <v>181</v>
      </c>
    </row>
    <row r="139" spans="1:3" x14ac:dyDescent="0.4">
      <c r="A139" s="102" t="s">
        <v>59</v>
      </c>
      <c r="B139" s="110" t="s">
        <v>176</v>
      </c>
      <c r="C139" s="110" t="s">
        <v>177</v>
      </c>
    </row>
    <row r="140" spans="1:3" x14ac:dyDescent="0.4">
      <c r="A140" s="124" t="s">
        <v>59</v>
      </c>
      <c r="B140" s="144" t="s">
        <v>178</v>
      </c>
      <c r="C140" s="144" t="s">
        <v>179</v>
      </c>
    </row>
    <row r="141" spans="1:3" x14ac:dyDescent="0.4">
      <c r="A141" s="104"/>
      <c r="B141" s="144" t="s">
        <v>180</v>
      </c>
      <c r="C141" s="144" t="s">
        <v>181</v>
      </c>
    </row>
    <row r="142" spans="1:3" x14ac:dyDescent="0.4">
      <c r="A142" s="104"/>
      <c r="B142" s="145" t="s">
        <v>182</v>
      </c>
      <c r="C142" s="145" t="s">
        <v>181</v>
      </c>
    </row>
    <row r="143" spans="1:3" x14ac:dyDescent="0.4">
      <c r="A143" s="104" t="s">
        <v>173</v>
      </c>
      <c r="B143" s="110" t="s">
        <v>184</v>
      </c>
      <c r="C143" s="110" t="s">
        <v>183</v>
      </c>
    </row>
    <row r="144" spans="1:3" x14ac:dyDescent="0.4">
      <c r="A144" s="125" t="s">
        <v>173</v>
      </c>
      <c r="B144" s="144" t="s">
        <v>178</v>
      </c>
      <c r="C144" s="144" t="s">
        <v>179</v>
      </c>
    </row>
    <row r="145" spans="1:3" x14ac:dyDescent="0.4">
      <c r="A145" s="104"/>
      <c r="B145" s="144" t="s">
        <v>180</v>
      </c>
      <c r="C145" s="144" t="s">
        <v>181</v>
      </c>
    </row>
    <row r="146" spans="1:3" x14ac:dyDescent="0.4">
      <c r="A146" s="108"/>
      <c r="B146" s="145" t="s">
        <v>182</v>
      </c>
      <c r="C146" s="145" t="s">
        <v>181</v>
      </c>
    </row>
    <row r="148" spans="1:3" x14ac:dyDescent="0.4">
      <c r="A148" s="173" t="s">
        <v>273</v>
      </c>
      <c r="B148" s="174"/>
      <c r="C148" s="175"/>
    </row>
    <row r="149" spans="1:3" x14ac:dyDescent="0.4">
      <c r="A149" s="102" t="s">
        <v>58</v>
      </c>
      <c r="B149" s="120"/>
      <c r="C149" s="121"/>
    </row>
    <row r="150" spans="1:3" x14ac:dyDescent="0.4">
      <c r="A150" s="125" t="s">
        <v>58</v>
      </c>
      <c r="B150" s="122"/>
      <c r="C150" s="113"/>
    </row>
    <row r="151" spans="1:3" x14ac:dyDescent="0.4">
      <c r="A151" s="104"/>
      <c r="B151" s="122"/>
      <c r="C151" s="113"/>
    </row>
    <row r="152" spans="1:3" x14ac:dyDescent="0.4">
      <c r="A152" s="104"/>
      <c r="B152" s="122"/>
      <c r="C152" s="113"/>
    </row>
    <row r="153" spans="1:3" x14ac:dyDescent="0.4">
      <c r="A153" s="104"/>
      <c r="B153" s="122"/>
      <c r="C153" s="113"/>
    </row>
    <row r="154" spans="1:3" x14ac:dyDescent="0.4">
      <c r="A154" s="104"/>
      <c r="B154" s="122"/>
      <c r="C154" s="113"/>
    </row>
    <row r="155" spans="1:3" x14ac:dyDescent="0.4">
      <c r="A155" s="104"/>
      <c r="B155" s="122"/>
      <c r="C155" s="113"/>
    </row>
    <row r="156" spans="1:3" x14ac:dyDescent="0.4">
      <c r="A156" s="104"/>
      <c r="B156" s="122"/>
      <c r="C156" s="113"/>
    </row>
    <row r="157" spans="1:3" x14ac:dyDescent="0.4">
      <c r="A157" s="104"/>
      <c r="B157" s="122"/>
      <c r="C157" s="113"/>
    </row>
    <row r="158" spans="1:3" x14ac:dyDescent="0.4">
      <c r="A158" s="104"/>
      <c r="B158" s="122"/>
      <c r="C158" s="113"/>
    </row>
    <row r="159" spans="1:3" x14ac:dyDescent="0.4">
      <c r="A159" s="108"/>
      <c r="B159" s="123"/>
      <c r="C159" s="114"/>
    </row>
    <row r="160" spans="1:3" x14ac:dyDescent="0.4">
      <c r="A160" s="102" t="s">
        <v>59</v>
      </c>
      <c r="B160" s="120"/>
      <c r="C160" s="121"/>
    </row>
    <row r="161" spans="1:3" x14ac:dyDescent="0.4">
      <c r="A161" s="124" t="s">
        <v>59</v>
      </c>
      <c r="B161" s="122"/>
      <c r="C161" s="113"/>
    </row>
    <row r="162" spans="1:3" x14ac:dyDescent="0.4">
      <c r="A162" s="104"/>
      <c r="B162" s="122"/>
      <c r="C162" s="113"/>
    </row>
    <row r="163" spans="1:3" x14ac:dyDescent="0.4">
      <c r="A163" s="104"/>
      <c r="B163" s="122"/>
      <c r="C163" s="113"/>
    </row>
    <row r="164" spans="1:3" x14ac:dyDescent="0.4">
      <c r="A164" s="104"/>
      <c r="B164" s="122"/>
      <c r="C164" s="113"/>
    </row>
    <row r="165" spans="1:3" x14ac:dyDescent="0.4">
      <c r="A165" s="104"/>
      <c r="B165" s="122"/>
      <c r="C165" s="113"/>
    </row>
    <row r="166" spans="1:3" x14ac:dyDescent="0.4">
      <c r="A166" s="104"/>
      <c r="B166" s="122"/>
      <c r="C166" s="113"/>
    </row>
    <row r="167" spans="1:3" x14ac:dyDescent="0.4">
      <c r="A167" s="104"/>
      <c r="B167" s="122"/>
      <c r="C167" s="113"/>
    </row>
    <row r="168" spans="1:3" x14ac:dyDescent="0.4">
      <c r="A168" s="104"/>
      <c r="B168" s="122"/>
      <c r="C168" s="113"/>
    </row>
    <row r="169" spans="1:3" x14ac:dyDescent="0.4">
      <c r="A169" s="104"/>
      <c r="B169" s="122"/>
      <c r="C169" s="113"/>
    </row>
    <row r="170" spans="1:3" x14ac:dyDescent="0.4">
      <c r="A170" s="108"/>
      <c r="B170" s="123"/>
      <c r="C170" s="114"/>
    </row>
    <row r="171" spans="1:3" x14ac:dyDescent="0.4">
      <c r="A171" s="102" t="s">
        <v>173</v>
      </c>
      <c r="B171" s="120"/>
      <c r="C171" s="121"/>
    </row>
    <row r="172" spans="1:3" x14ac:dyDescent="0.4">
      <c r="A172" s="125" t="s">
        <v>173</v>
      </c>
      <c r="B172" s="122"/>
      <c r="C172" s="113"/>
    </row>
    <row r="173" spans="1:3" x14ac:dyDescent="0.4">
      <c r="A173" s="104"/>
      <c r="B173" s="122"/>
      <c r="C173" s="113"/>
    </row>
    <row r="174" spans="1:3" x14ac:dyDescent="0.4">
      <c r="A174" s="104"/>
      <c r="B174" s="122"/>
      <c r="C174" s="113"/>
    </row>
    <row r="175" spans="1:3" x14ac:dyDescent="0.4">
      <c r="A175" s="104"/>
      <c r="B175" s="122"/>
      <c r="C175" s="113"/>
    </row>
    <row r="176" spans="1:3" x14ac:dyDescent="0.4">
      <c r="A176" s="104"/>
      <c r="B176" s="122"/>
      <c r="C176" s="113"/>
    </row>
    <row r="177" spans="1:3" x14ac:dyDescent="0.4">
      <c r="A177" s="104"/>
      <c r="B177" s="122"/>
      <c r="C177" s="113"/>
    </row>
    <row r="178" spans="1:3" x14ac:dyDescent="0.4">
      <c r="A178" s="104"/>
      <c r="B178" s="122"/>
      <c r="C178" s="113"/>
    </row>
    <row r="179" spans="1:3" x14ac:dyDescent="0.4">
      <c r="A179" s="104"/>
      <c r="B179" s="122"/>
      <c r="C179" s="113"/>
    </row>
    <row r="180" spans="1:3" x14ac:dyDescent="0.4">
      <c r="A180" s="104"/>
      <c r="B180" s="122"/>
      <c r="C180" s="113"/>
    </row>
    <row r="181" spans="1:3" x14ac:dyDescent="0.4">
      <c r="A181" s="108"/>
      <c r="B181" s="123"/>
      <c r="C181" s="114"/>
    </row>
    <row r="183" spans="1:3" s="126" customFormat="1" x14ac:dyDescent="0.4">
      <c r="A183" s="173" t="s">
        <v>274</v>
      </c>
      <c r="B183" s="174"/>
      <c r="C183" s="175"/>
    </row>
    <row r="184" spans="1:3" s="126" customFormat="1" x14ac:dyDescent="0.4">
      <c r="A184" s="127" t="s">
        <v>111</v>
      </c>
      <c r="B184" s="120" t="s">
        <v>218</v>
      </c>
      <c r="C184" s="121"/>
    </row>
    <row r="185" spans="1:3" s="126" customFormat="1" x14ac:dyDescent="0.4">
      <c r="A185" s="128" t="s">
        <v>111</v>
      </c>
      <c r="B185" s="133" t="s">
        <v>185</v>
      </c>
      <c r="C185" s="113"/>
    </row>
    <row r="186" spans="1:3" s="126" customFormat="1" x14ac:dyDescent="0.4">
      <c r="A186" s="128"/>
      <c r="B186" s="146"/>
      <c r="C186" s="139"/>
    </row>
    <row r="187" spans="1:3" s="126" customFormat="1" x14ac:dyDescent="0.4">
      <c r="A187" s="129"/>
      <c r="B187" s="147" t="s">
        <v>187</v>
      </c>
      <c r="C187" s="141"/>
    </row>
    <row r="188" spans="1:3" s="126" customFormat="1" x14ac:dyDescent="0.4">
      <c r="A188" s="129"/>
      <c r="B188" s="133" t="s">
        <v>186</v>
      </c>
      <c r="C188" s="113"/>
    </row>
    <row r="189" spans="1:3" s="126" customFormat="1" x14ac:dyDescent="0.4">
      <c r="A189" s="129"/>
      <c r="B189" s="138"/>
      <c r="C189" s="139"/>
    </row>
    <row r="190" spans="1:3" s="126" customFormat="1" x14ac:dyDescent="0.4">
      <c r="A190" s="129"/>
      <c r="B190" s="134" t="s">
        <v>233</v>
      </c>
      <c r="C190" s="113"/>
    </row>
    <row r="191" spans="1:3" s="126" customFormat="1" x14ac:dyDescent="0.4">
      <c r="A191" s="129"/>
      <c r="B191" s="133" t="s">
        <v>234</v>
      </c>
      <c r="C191" s="113"/>
    </row>
    <row r="192" spans="1:3" s="126" customFormat="1" x14ac:dyDescent="0.4">
      <c r="A192" s="130"/>
      <c r="B192" s="123"/>
      <c r="C192" s="114"/>
    </row>
    <row r="193" spans="1:3" s="126" customFormat="1" x14ac:dyDescent="0.4">
      <c r="A193" s="127" t="s">
        <v>114</v>
      </c>
      <c r="B193" s="120" t="s">
        <v>219</v>
      </c>
      <c r="C193" s="121"/>
    </row>
    <row r="194" spans="1:3" s="126" customFormat="1" x14ac:dyDescent="0.4">
      <c r="A194" s="128" t="s">
        <v>114</v>
      </c>
      <c r="B194" s="133" t="s">
        <v>188</v>
      </c>
      <c r="C194" s="113"/>
    </row>
    <row r="195" spans="1:3" s="126" customFormat="1" x14ac:dyDescent="0.4">
      <c r="A195" s="129"/>
      <c r="B195" s="138"/>
      <c r="C195" s="139"/>
    </row>
    <row r="196" spans="1:3" s="126" customFormat="1" x14ac:dyDescent="0.4">
      <c r="A196" s="129"/>
      <c r="B196" s="122" t="s">
        <v>190</v>
      </c>
      <c r="C196" s="113"/>
    </row>
    <row r="197" spans="1:3" s="126" customFormat="1" x14ac:dyDescent="0.4">
      <c r="A197" s="129"/>
      <c r="B197" s="133" t="s">
        <v>189</v>
      </c>
      <c r="C197" s="113"/>
    </row>
    <row r="198" spans="1:3" s="126" customFormat="1" x14ac:dyDescent="0.4">
      <c r="A198" s="130"/>
      <c r="B198" s="123"/>
      <c r="C198" s="114"/>
    </row>
    <row r="199" spans="1:3" s="126" customFormat="1" x14ac:dyDescent="0.4">
      <c r="A199" s="127" t="s">
        <v>58</v>
      </c>
      <c r="B199" s="120" t="s">
        <v>241</v>
      </c>
      <c r="C199" s="121"/>
    </row>
    <row r="200" spans="1:3" s="126" customFormat="1" x14ac:dyDescent="0.4">
      <c r="A200" s="128" t="s">
        <v>58</v>
      </c>
      <c r="B200" s="133" t="s">
        <v>191</v>
      </c>
      <c r="C200" s="113"/>
    </row>
    <row r="201" spans="1:3" s="126" customFormat="1" x14ac:dyDescent="0.4">
      <c r="A201" s="129"/>
      <c r="B201" s="138"/>
      <c r="C201" s="139"/>
    </row>
    <row r="202" spans="1:3" s="126" customFormat="1" x14ac:dyDescent="0.4">
      <c r="A202" s="129"/>
      <c r="B202" s="147" t="s">
        <v>220</v>
      </c>
      <c r="C202" s="141"/>
    </row>
    <row r="203" spans="1:3" s="126" customFormat="1" x14ac:dyDescent="0.4">
      <c r="A203" s="129"/>
      <c r="B203" s="135" t="s">
        <v>192</v>
      </c>
      <c r="C203" s="113"/>
    </row>
    <row r="204" spans="1:3" s="126" customFormat="1" x14ac:dyDescent="0.4">
      <c r="A204" s="129"/>
      <c r="B204" s="138"/>
      <c r="C204" s="139"/>
    </row>
    <row r="205" spans="1:3" s="126" customFormat="1" x14ac:dyDescent="0.4">
      <c r="A205" s="129"/>
      <c r="B205" s="147" t="s">
        <v>194</v>
      </c>
      <c r="C205" s="141"/>
    </row>
    <row r="206" spans="1:3" s="126" customFormat="1" x14ac:dyDescent="0.4">
      <c r="A206" s="129"/>
      <c r="B206" s="133" t="s">
        <v>193</v>
      </c>
      <c r="C206" s="113"/>
    </row>
    <row r="207" spans="1:3" s="126" customFormat="1" x14ac:dyDescent="0.4">
      <c r="A207" s="129"/>
      <c r="B207" s="133" t="s">
        <v>195</v>
      </c>
      <c r="C207" s="113"/>
    </row>
    <row r="208" spans="1:3" s="126" customFormat="1" x14ac:dyDescent="0.4">
      <c r="A208" s="129"/>
      <c r="B208" s="133" t="s">
        <v>196</v>
      </c>
      <c r="C208" s="113"/>
    </row>
    <row r="209" spans="1:3" s="126" customFormat="1" x14ac:dyDescent="0.4">
      <c r="A209" s="129"/>
      <c r="B209" s="133" t="s">
        <v>197</v>
      </c>
      <c r="C209" s="113"/>
    </row>
    <row r="210" spans="1:3" s="126" customFormat="1" x14ac:dyDescent="0.4">
      <c r="A210" s="129"/>
      <c r="B210" s="138"/>
      <c r="C210" s="139"/>
    </row>
    <row r="211" spans="1:3" s="126" customFormat="1" x14ac:dyDescent="0.4">
      <c r="A211" s="129"/>
      <c r="B211" s="147" t="s">
        <v>199</v>
      </c>
      <c r="C211" s="141"/>
    </row>
    <row r="212" spans="1:3" s="126" customFormat="1" x14ac:dyDescent="0.4">
      <c r="A212" s="129"/>
      <c r="B212" s="136" t="s">
        <v>198</v>
      </c>
      <c r="C212" s="113"/>
    </row>
    <row r="213" spans="1:3" s="126" customFormat="1" x14ac:dyDescent="0.4">
      <c r="A213" s="129"/>
      <c r="B213" s="138"/>
      <c r="C213" s="139"/>
    </row>
    <row r="214" spans="1:3" s="126" customFormat="1" x14ac:dyDescent="0.4">
      <c r="A214" s="129"/>
      <c r="B214" s="147" t="s">
        <v>201</v>
      </c>
      <c r="C214" s="141"/>
    </row>
    <row r="215" spans="1:3" s="126" customFormat="1" x14ac:dyDescent="0.4">
      <c r="A215" s="129"/>
      <c r="B215" s="133" t="s">
        <v>200</v>
      </c>
      <c r="C215" s="113"/>
    </row>
    <row r="216" spans="1:3" s="126" customFormat="1" x14ac:dyDescent="0.4">
      <c r="A216" s="129"/>
      <c r="B216" s="138"/>
      <c r="C216" s="139"/>
    </row>
    <row r="217" spans="1:3" s="126" customFormat="1" x14ac:dyDescent="0.4">
      <c r="A217" s="129"/>
      <c r="B217" s="147" t="s">
        <v>213</v>
      </c>
      <c r="C217" s="141"/>
    </row>
    <row r="218" spans="1:3" s="126" customFormat="1" x14ac:dyDescent="0.4">
      <c r="A218" s="129"/>
      <c r="B218" s="133" t="s">
        <v>202</v>
      </c>
      <c r="C218" s="113"/>
    </row>
    <row r="219" spans="1:3" s="126" customFormat="1" x14ac:dyDescent="0.4">
      <c r="A219" s="129"/>
      <c r="B219" s="138"/>
      <c r="C219" s="139"/>
    </row>
    <row r="220" spans="1:3" s="126" customFormat="1" x14ac:dyDescent="0.4">
      <c r="A220" s="129"/>
      <c r="B220" s="147" t="s">
        <v>214</v>
      </c>
      <c r="C220" s="141"/>
    </row>
    <row r="221" spans="1:3" s="126" customFormat="1" x14ac:dyDescent="0.4">
      <c r="A221" s="129"/>
      <c r="B221" s="133" t="s">
        <v>203</v>
      </c>
      <c r="C221" s="113"/>
    </row>
    <row r="222" spans="1:3" s="126" customFormat="1" x14ac:dyDescent="0.4">
      <c r="A222" s="129"/>
      <c r="B222" s="133" t="s">
        <v>204</v>
      </c>
      <c r="C222" s="113"/>
    </row>
    <row r="223" spans="1:3" s="126" customFormat="1" x14ac:dyDescent="0.4">
      <c r="A223" s="129"/>
      <c r="B223" s="138"/>
      <c r="C223" s="139"/>
    </row>
    <row r="224" spans="1:3" s="126" customFormat="1" x14ac:dyDescent="0.4">
      <c r="A224" s="129"/>
      <c r="B224" s="147" t="s">
        <v>215</v>
      </c>
      <c r="C224" s="141"/>
    </row>
    <row r="225" spans="1:3" s="126" customFormat="1" x14ac:dyDescent="0.4">
      <c r="A225" s="129"/>
      <c r="B225" s="133" t="s">
        <v>205</v>
      </c>
      <c r="C225" s="113"/>
    </row>
    <row r="226" spans="1:3" s="126" customFormat="1" x14ac:dyDescent="0.4">
      <c r="A226" s="129"/>
      <c r="B226" s="133" t="s">
        <v>206</v>
      </c>
      <c r="C226" s="113"/>
    </row>
    <row r="227" spans="1:3" s="126" customFormat="1" x14ac:dyDescent="0.4">
      <c r="A227" s="129"/>
      <c r="B227" s="138"/>
      <c r="C227" s="139"/>
    </row>
    <row r="228" spans="1:3" s="126" customFormat="1" x14ac:dyDescent="0.4">
      <c r="A228" s="129"/>
      <c r="B228" s="163" t="s">
        <v>216</v>
      </c>
      <c r="C228" s="141"/>
    </row>
    <row r="229" spans="1:3" s="126" customFormat="1" x14ac:dyDescent="0.4">
      <c r="A229" s="129"/>
      <c r="B229" s="164" t="s">
        <v>283</v>
      </c>
      <c r="C229" s="162"/>
    </row>
    <row r="230" spans="1:3" s="126" customFormat="1" x14ac:dyDescent="0.4">
      <c r="A230" s="129"/>
      <c r="B230" s="164" t="s">
        <v>282</v>
      </c>
      <c r="C230" s="113"/>
    </row>
    <row r="231" spans="1:3" s="126" customFormat="1" x14ac:dyDescent="0.4">
      <c r="A231" s="129"/>
      <c r="B231" s="165"/>
      <c r="C231" s="139"/>
    </row>
    <row r="232" spans="1:3" s="126" customFormat="1" x14ac:dyDescent="0.4">
      <c r="A232" s="129"/>
      <c r="B232" s="147" t="s">
        <v>217</v>
      </c>
      <c r="C232" s="141"/>
    </row>
    <row r="233" spans="1:3" s="126" customFormat="1" x14ac:dyDescent="0.4">
      <c r="A233" s="129"/>
      <c r="B233" s="133" t="s">
        <v>209</v>
      </c>
      <c r="C233" s="113"/>
    </row>
    <row r="234" spans="1:3" s="126" customFormat="1" x14ac:dyDescent="0.4">
      <c r="A234" s="129"/>
      <c r="B234" s="133" t="s">
        <v>210</v>
      </c>
      <c r="C234" s="113"/>
    </row>
    <row r="235" spans="1:3" s="126" customFormat="1" x14ac:dyDescent="0.4">
      <c r="A235" s="129"/>
      <c r="B235" s="138"/>
      <c r="C235" s="139"/>
    </row>
    <row r="236" spans="1:3" s="126" customFormat="1" x14ac:dyDescent="0.4">
      <c r="A236" s="129"/>
      <c r="B236" s="166" t="s">
        <v>284</v>
      </c>
      <c r="C236" s="167"/>
    </row>
    <row r="237" spans="1:3" s="126" customFormat="1" x14ac:dyDescent="0.4">
      <c r="A237" s="129"/>
      <c r="B237" s="164" t="s">
        <v>285</v>
      </c>
      <c r="C237" s="167" t="s">
        <v>286</v>
      </c>
    </row>
    <row r="238" spans="1:3" s="126" customFormat="1" x14ac:dyDescent="0.4">
      <c r="A238" s="129"/>
      <c r="B238" s="164" t="s">
        <v>287</v>
      </c>
      <c r="C238" s="167" t="s">
        <v>286</v>
      </c>
    </row>
    <row r="239" spans="1:3" s="126" customFormat="1" x14ac:dyDescent="0.4">
      <c r="A239" s="129"/>
      <c r="B239" s="166"/>
      <c r="C239" s="167"/>
    </row>
    <row r="240" spans="1:3" s="126" customFormat="1" x14ac:dyDescent="0.4">
      <c r="A240" s="129"/>
      <c r="B240" s="147" t="s">
        <v>251</v>
      </c>
      <c r="C240" s="141"/>
    </row>
    <row r="241" spans="1:3" s="126" customFormat="1" x14ac:dyDescent="0.4">
      <c r="A241" s="129"/>
      <c r="B241" s="133" t="s">
        <v>211</v>
      </c>
      <c r="C241" s="113"/>
    </row>
    <row r="242" spans="1:3" s="126" customFormat="1" x14ac:dyDescent="0.4">
      <c r="A242" s="129"/>
      <c r="B242" s="138"/>
      <c r="C242" s="139"/>
    </row>
    <row r="243" spans="1:3" s="126" customFormat="1" x14ac:dyDescent="0.4">
      <c r="A243" s="129"/>
      <c r="B243" s="140" t="s">
        <v>226</v>
      </c>
      <c r="C243" s="141"/>
    </row>
    <row r="244" spans="1:3" s="126" customFormat="1" x14ac:dyDescent="0.4">
      <c r="A244" s="129"/>
      <c r="B244" s="133" t="s">
        <v>225</v>
      </c>
      <c r="C244" s="113"/>
    </row>
    <row r="245" spans="1:3" s="126" customFormat="1" x14ac:dyDescent="0.4">
      <c r="A245" s="129"/>
      <c r="B245" s="137" t="s">
        <v>227</v>
      </c>
      <c r="C245" s="113"/>
    </row>
    <row r="246" spans="1:3" s="126" customFormat="1" x14ac:dyDescent="0.4">
      <c r="A246" s="129"/>
      <c r="B246" s="148"/>
      <c r="C246" s="139"/>
    </row>
    <row r="247" spans="1:3" s="126" customFormat="1" x14ac:dyDescent="0.4">
      <c r="A247" s="129"/>
      <c r="B247" s="140" t="s">
        <v>252</v>
      </c>
      <c r="C247" s="141"/>
    </row>
    <row r="248" spans="1:3" s="126" customFormat="1" x14ac:dyDescent="0.4">
      <c r="A248" s="129"/>
      <c r="B248" s="133" t="s">
        <v>229</v>
      </c>
      <c r="C248" s="113"/>
    </row>
    <row r="249" spans="1:3" s="126" customFormat="1" x14ac:dyDescent="0.4">
      <c r="A249" s="129"/>
      <c r="B249" s="138"/>
      <c r="C249" s="139"/>
    </row>
    <row r="250" spans="1:3" s="126" customFormat="1" x14ac:dyDescent="0.4">
      <c r="A250" s="129"/>
      <c r="B250" s="140" t="s">
        <v>222</v>
      </c>
      <c r="C250" s="141"/>
    </row>
    <row r="251" spans="1:3" s="126" customFormat="1" x14ac:dyDescent="0.4">
      <c r="A251" s="129"/>
      <c r="B251" s="133" t="s">
        <v>221</v>
      </c>
      <c r="C251" s="113"/>
    </row>
    <row r="252" spans="1:3" s="126" customFormat="1" x14ac:dyDescent="0.4">
      <c r="A252" s="129"/>
      <c r="B252" s="138"/>
      <c r="C252" s="139"/>
    </row>
    <row r="253" spans="1:3" s="126" customFormat="1" x14ac:dyDescent="0.4">
      <c r="A253" s="129"/>
      <c r="B253" s="134" t="s">
        <v>223</v>
      </c>
      <c r="C253" s="113"/>
    </row>
    <row r="254" spans="1:3" s="126" customFormat="1" x14ac:dyDescent="0.4">
      <c r="A254" s="129"/>
      <c r="B254" s="133" t="s">
        <v>224</v>
      </c>
      <c r="C254" s="113"/>
    </row>
    <row r="255" spans="1:3" s="126" customFormat="1" x14ac:dyDescent="0.4">
      <c r="A255" s="130"/>
      <c r="B255" s="123"/>
      <c r="C255" s="114"/>
    </row>
    <row r="256" spans="1:3" s="126" customFormat="1" x14ac:dyDescent="0.4">
      <c r="A256" s="127" t="s">
        <v>124</v>
      </c>
      <c r="B256" s="120" t="s">
        <v>218</v>
      </c>
      <c r="C256" s="121"/>
    </row>
    <row r="257" spans="1:3" s="126" customFormat="1" x14ac:dyDescent="0.4">
      <c r="A257" s="128" t="s">
        <v>124</v>
      </c>
      <c r="B257" s="133" t="s">
        <v>230</v>
      </c>
      <c r="C257" s="113"/>
    </row>
    <row r="258" spans="1:3" s="126" customFormat="1" x14ac:dyDescent="0.4">
      <c r="A258" s="129"/>
      <c r="B258" s="138"/>
      <c r="C258" s="139"/>
    </row>
    <row r="259" spans="1:3" s="126" customFormat="1" x14ac:dyDescent="0.4">
      <c r="A259" s="129"/>
      <c r="B259" s="147" t="s">
        <v>232</v>
      </c>
      <c r="C259" s="141"/>
    </row>
    <row r="260" spans="1:3" s="126" customFormat="1" x14ac:dyDescent="0.4">
      <c r="A260" s="129"/>
      <c r="B260" s="133" t="s">
        <v>231</v>
      </c>
      <c r="C260" s="113"/>
    </row>
    <row r="261" spans="1:3" s="126" customFormat="1" x14ac:dyDescent="0.4">
      <c r="A261" s="129"/>
      <c r="B261" s="138"/>
      <c r="C261" s="139"/>
    </row>
    <row r="262" spans="1:3" s="126" customFormat="1" x14ac:dyDescent="0.4">
      <c r="A262" s="129"/>
      <c r="B262" s="140" t="s">
        <v>235</v>
      </c>
      <c r="C262" s="141"/>
    </row>
    <row r="263" spans="1:3" s="126" customFormat="1" x14ac:dyDescent="0.4">
      <c r="A263" s="129"/>
      <c r="B263" s="138"/>
      <c r="C263" s="139"/>
    </row>
    <row r="264" spans="1:3" s="126" customFormat="1" x14ac:dyDescent="0.4">
      <c r="A264" s="129"/>
      <c r="B264" s="140" t="s">
        <v>237</v>
      </c>
      <c r="C264" s="141"/>
    </row>
    <row r="265" spans="1:3" s="126" customFormat="1" x14ac:dyDescent="0.4">
      <c r="A265" s="129"/>
      <c r="B265" s="133" t="s">
        <v>236</v>
      </c>
      <c r="C265" s="113"/>
    </row>
    <row r="266" spans="1:3" s="126" customFormat="1" x14ac:dyDescent="0.4">
      <c r="A266" s="129"/>
      <c r="B266" s="138"/>
      <c r="C266" s="139"/>
    </row>
    <row r="267" spans="1:3" s="126" customFormat="1" x14ac:dyDescent="0.4">
      <c r="A267" s="129"/>
      <c r="B267" s="166" t="s">
        <v>238</v>
      </c>
      <c r="C267" s="167"/>
    </row>
    <row r="268" spans="1:3" s="126" customFormat="1" x14ac:dyDescent="0.4">
      <c r="A268" s="129"/>
      <c r="B268" s="164" t="s">
        <v>288</v>
      </c>
      <c r="C268" s="167"/>
    </row>
    <row r="269" spans="1:3" s="126" customFormat="1" x14ac:dyDescent="0.4">
      <c r="A269" s="129"/>
      <c r="B269" s="168" t="s">
        <v>281</v>
      </c>
      <c r="C269" s="169"/>
    </row>
    <row r="270" spans="1:3" s="126" customFormat="1" x14ac:dyDescent="0.4">
      <c r="A270" s="129"/>
      <c r="B270" s="168" t="s">
        <v>239</v>
      </c>
      <c r="C270" s="169"/>
    </row>
    <row r="271" spans="1:3" s="126" customFormat="1" x14ac:dyDescent="0.4">
      <c r="A271" s="130"/>
      <c r="B271" s="123"/>
      <c r="C271" s="114"/>
    </row>
    <row r="272" spans="1:3" s="126" customFormat="1" x14ac:dyDescent="0.4">
      <c r="A272" s="127" t="s">
        <v>59</v>
      </c>
      <c r="B272" s="120" t="s">
        <v>240</v>
      </c>
      <c r="C272" s="121"/>
    </row>
    <row r="273" spans="1:3" s="126" customFormat="1" x14ac:dyDescent="0.4">
      <c r="A273" s="131" t="s">
        <v>59</v>
      </c>
      <c r="B273" s="133" t="s">
        <v>242</v>
      </c>
      <c r="C273" s="113"/>
    </row>
    <row r="274" spans="1:3" s="126" customFormat="1" x14ac:dyDescent="0.4">
      <c r="A274" s="129"/>
      <c r="B274" s="138"/>
      <c r="C274" s="139"/>
    </row>
    <row r="275" spans="1:3" x14ac:dyDescent="0.4">
      <c r="A275" s="129"/>
      <c r="B275" s="147" t="s">
        <v>220</v>
      </c>
      <c r="C275" s="141"/>
    </row>
    <row r="276" spans="1:3" x14ac:dyDescent="0.4">
      <c r="A276" s="129"/>
      <c r="B276" s="135" t="s">
        <v>192</v>
      </c>
      <c r="C276" s="113"/>
    </row>
    <row r="277" spans="1:3" x14ac:dyDescent="0.4">
      <c r="A277" s="129"/>
      <c r="B277" s="138"/>
      <c r="C277" s="139"/>
    </row>
    <row r="278" spans="1:3" x14ac:dyDescent="0.4">
      <c r="A278" s="129"/>
      <c r="B278" s="147" t="s">
        <v>194</v>
      </c>
      <c r="C278" s="141"/>
    </row>
    <row r="279" spans="1:3" x14ac:dyDescent="0.4">
      <c r="A279" s="129"/>
      <c r="B279" s="133" t="s">
        <v>243</v>
      </c>
      <c r="C279" s="113"/>
    </row>
    <row r="280" spans="1:3" x14ac:dyDescent="0.4">
      <c r="A280" s="129"/>
      <c r="B280" s="133" t="s">
        <v>244</v>
      </c>
      <c r="C280" s="113"/>
    </row>
    <row r="281" spans="1:3" x14ac:dyDescent="0.4">
      <c r="A281" s="129"/>
      <c r="B281" s="133" t="s">
        <v>245</v>
      </c>
      <c r="C281" s="113"/>
    </row>
    <row r="282" spans="1:3" x14ac:dyDescent="0.4">
      <c r="A282" s="129"/>
      <c r="B282" s="133" t="s">
        <v>246</v>
      </c>
      <c r="C282" s="113"/>
    </row>
    <row r="283" spans="1:3" x14ac:dyDescent="0.4">
      <c r="A283" s="129"/>
      <c r="B283" s="138"/>
      <c r="C283" s="139"/>
    </row>
    <row r="284" spans="1:3" x14ac:dyDescent="0.4">
      <c r="A284" s="129"/>
      <c r="B284" s="147" t="s">
        <v>199</v>
      </c>
      <c r="C284" s="141"/>
    </row>
    <row r="285" spans="1:3" x14ac:dyDescent="0.4">
      <c r="A285" s="129"/>
      <c r="B285" s="136" t="s">
        <v>247</v>
      </c>
      <c r="C285" s="113"/>
    </row>
    <row r="286" spans="1:3" x14ac:dyDescent="0.4">
      <c r="A286" s="129"/>
      <c r="B286" s="138"/>
      <c r="C286" s="139"/>
    </row>
    <row r="287" spans="1:3" x14ac:dyDescent="0.4">
      <c r="A287" s="129"/>
      <c r="B287" s="147" t="s">
        <v>201</v>
      </c>
      <c r="C287" s="141"/>
    </row>
    <row r="288" spans="1:3" x14ac:dyDescent="0.4">
      <c r="A288" s="129"/>
      <c r="B288" s="133" t="s">
        <v>200</v>
      </c>
      <c r="C288" s="113"/>
    </row>
    <row r="289" spans="1:3" x14ac:dyDescent="0.4">
      <c r="A289" s="129"/>
      <c r="B289" s="138"/>
      <c r="C289" s="139"/>
    </row>
    <row r="290" spans="1:3" x14ac:dyDescent="0.4">
      <c r="A290" s="129"/>
      <c r="B290" s="147" t="s">
        <v>213</v>
      </c>
      <c r="C290" s="141"/>
    </row>
    <row r="291" spans="1:3" x14ac:dyDescent="0.4">
      <c r="A291" s="129"/>
      <c r="B291" s="133" t="s">
        <v>202</v>
      </c>
      <c r="C291" s="113"/>
    </row>
    <row r="292" spans="1:3" x14ac:dyDescent="0.4">
      <c r="A292" s="129"/>
      <c r="B292" s="138"/>
      <c r="C292" s="139"/>
    </row>
    <row r="293" spans="1:3" x14ac:dyDescent="0.4">
      <c r="A293" s="129"/>
      <c r="B293" s="147" t="s">
        <v>214</v>
      </c>
      <c r="C293" s="141"/>
    </row>
    <row r="294" spans="1:3" x14ac:dyDescent="0.4">
      <c r="A294" s="129"/>
      <c r="B294" s="133" t="s">
        <v>203</v>
      </c>
      <c r="C294" s="113"/>
    </row>
    <row r="295" spans="1:3" x14ac:dyDescent="0.4">
      <c r="A295" s="129"/>
      <c r="B295" s="133" t="s">
        <v>204</v>
      </c>
      <c r="C295" s="113"/>
    </row>
    <row r="296" spans="1:3" x14ac:dyDescent="0.4">
      <c r="A296" s="129"/>
      <c r="B296" s="138"/>
      <c r="C296" s="139"/>
    </row>
    <row r="297" spans="1:3" x14ac:dyDescent="0.4">
      <c r="A297" s="129"/>
      <c r="B297" s="147" t="s">
        <v>215</v>
      </c>
      <c r="C297" s="141"/>
    </row>
    <row r="298" spans="1:3" x14ac:dyDescent="0.4">
      <c r="A298" s="129"/>
      <c r="B298" s="133" t="s">
        <v>248</v>
      </c>
      <c r="C298" s="113"/>
    </row>
    <row r="299" spans="1:3" x14ac:dyDescent="0.4">
      <c r="A299" s="129"/>
      <c r="B299" s="133" t="s">
        <v>249</v>
      </c>
      <c r="C299" s="113"/>
    </row>
    <row r="300" spans="1:3" x14ac:dyDescent="0.4">
      <c r="A300" s="129"/>
      <c r="B300" s="138"/>
      <c r="C300" s="139"/>
    </row>
    <row r="301" spans="1:3" x14ac:dyDescent="0.4">
      <c r="A301" s="129"/>
      <c r="B301" s="147" t="s">
        <v>216</v>
      </c>
      <c r="C301" s="141"/>
    </row>
    <row r="302" spans="1:3" x14ac:dyDescent="0.4">
      <c r="A302" s="129"/>
      <c r="B302" s="133" t="s">
        <v>207</v>
      </c>
      <c r="C302" s="113"/>
    </row>
    <row r="303" spans="1:3" x14ac:dyDescent="0.4">
      <c r="A303" s="129"/>
      <c r="B303" s="133" t="s">
        <v>208</v>
      </c>
      <c r="C303" s="113"/>
    </row>
    <row r="304" spans="1:3" x14ac:dyDescent="0.4">
      <c r="A304" s="129"/>
      <c r="B304" s="138"/>
      <c r="C304" s="139"/>
    </row>
    <row r="305" spans="1:3" x14ac:dyDescent="0.4">
      <c r="A305" s="129"/>
      <c r="B305" s="147" t="s">
        <v>217</v>
      </c>
      <c r="C305" s="141"/>
    </row>
    <row r="306" spans="1:3" x14ac:dyDescent="0.4">
      <c r="A306" s="129"/>
      <c r="B306" s="133" t="s">
        <v>209</v>
      </c>
      <c r="C306" s="113"/>
    </row>
    <row r="307" spans="1:3" x14ac:dyDescent="0.4">
      <c r="A307" s="129"/>
      <c r="B307" s="133" t="s">
        <v>210</v>
      </c>
      <c r="C307" s="113"/>
    </row>
    <row r="308" spans="1:3" x14ac:dyDescent="0.4">
      <c r="A308" s="129"/>
      <c r="B308" s="138"/>
      <c r="C308" s="139"/>
    </row>
    <row r="309" spans="1:3" x14ac:dyDescent="0.4">
      <c r="A309" s="129"/>
      <c r="B309" s="147" t="s">
        <v>212</v>
      </c>
      <c r="C309" s="141"/>
    </row>
    <row r="310" spans="1:3" x14ac:dyDescent="0.4">
      <c r="A310" s="129"/>
      <c r="B310" s="133" t="s">
        <v>250</v>
      </c>
      <c r="C310" s="113"/>
    </row>
    <row r="311" spans="1:3" x14ac:dyDescent="0.4">
      <c r="A311" s="129"/>
      <c r="B311" s="138"/>
      <c r="C311" s="139"/>
    </row>
    <row r="312" spans="1:3" x14ac:dyDescent="0.4">
      <c r="A312" s="129"/>
      <c r="B312" s="140" t="s">
        <v>226</v>
      </c>
      <c r="C312" s="141"/>
    </row>
    <row r="313" spans="1:3" x14ac:dyDescent="0.4">
      <c r="A313" s="129"/>
      <c r="B313" s="133" t="s">
        <v>225</v>
      </c>
      <c r="C313" s="113"/>
    </row>
    <row r="314" spans="1:3" x14ac:dyDescent="0.4">
      <c r="A314" s="129"/>
      <c r="B314" s="137" t="s">
        <v>227</v>
      </c>
      <c r="C314" s="113"/>
    </row>
    <row r="315" spans="1:3" x14ac:dyDescent="0.4">
      <c r="A315" s="129"/>
      <c r="B315" s="148"/>
      <c r="C315" s="139"/>
    </row>
    <row r="316" spans="1:3" x14ac:dyDescent="0.4">
      <c r="A316" s="129"/>
      <c r="B316" s="140" t="s">
        <v>228</v>
      </c>
      <c r="C316" s="141"/>
    </row>
    <row r="317" spans="1:3" x14ac:dyDescent="0.4">
      <c r="A317" s="129"/>
      <c r="B317" s="133" t="s">
        <v>229</v>
      </c>
      <c r="C317" s="113"/>
    </row>
    <row r="318" spans="1:3" x14ac:dyDescent="0.4">
      <c r="A318" s="129"/>
      <c r="B318" s="138"/>
      <c r="C318" s="139"/>
    </row>
    <row r="319" spans="1:3" x14ac:dyDescent="0.4">
      <c r="A319" s="129"/>
      <c r="B319" s="140" t="s">
        <v>222</v>
      </c>
      <c r="C319" s="141"/>
    </row>
    <row r="320" spans="1:3" x14ac:dyDescent="0.4">
      <c r="A320" s="129"/>
      <c r="B320" s="133" t="s">
        <v>221</v>
      </c>
      <c r="C320" s="113"/>
    </row>
    <row r="321" spans="1:3" x14ac:dyDescent="0.4">
      <c r="A321" s="129"/>
      <c r="B321" s="138"/>
      <c r="C321" s="139"/>
    </row>
    <row r="322" spans="1:3" x14ac:dyDescent="0.4">
      <c r="A322" s="129"/>
      <c r="B322" s="140" t="s">
        <v>223</v>
      </c>
      <c r="C322" s="141"/>
    </row>
    <row r="323" spans="1:3" x14ac:dyDescent="0.4">
      <c r="A323" s="129"/>
      <c r="B323" s="133" t="s">
        <v>224</v>
      </c>
      <c r="C323" s="113"/>
    </row>
    <row r="324" spans="1:3" x14ac:dyDescent="0.4">
      <c r="A324" s="129"/>
      <c r="B324" s="138"/>
      <c r="C324" s="139"/>
    </row>
    <row r="325" spans="1:3" x14ac:dyDescent="0.4">
      <c r="A325" s="129"/>
      <c r="B325" s="147" t="s">
        <v>253</v>
      </c>
      <c r="C325" s="141"/>
    </row>
    <row r="326" spans="1:3" x14ac:dyDescent="0.4">
      <c r="A326" s="129"/>
      <c r="B326" s="138"/>
      <c r="C326" s="139"/>
    </row>
    <row r="327" spans="1:3" x14ac:dyDescent="0.4">
      <c r="A327" s="129"/>
      <c r="B327" s="122" t="s">
        <v>254</v>
      </c>
      <c r="C327" s="113"/>
    </row>
    <row r="328" spans="1:3" x14ac:dyDescent="0.4">
      <c r="A328" s="129"/>
      <c r="B328" s="133" t="s">
        <v>255</v>
      </c>
      <c r="C328" s="113"/>
    </row>
    <row r="329" spans="1:3" x14ac:dyDescent="0.4">
      <c r="A329" s="130"/>
      <c r="B329" s="123"/>
      <c r="C329" s="114"/>
    </row>
    <row r="330" spans="1:3" x14ac:dyDescent="0.4">
      <c r="A330" s="127" t="s">
        <v>173</v>
      </c>
      <c r="B330" s="120" t="s">
        <v>240</v>
      </c>
      <c r="C330" s="121"/>
    </row>
    <row r="331" spans="1:3" x14ac:dyDescent="0.4">
      <c r="A331" s="128" t="s">
        <v>173</v>
      </c>
      <c r="B331" s="133" t="s">
        <v>242</v>
      </c>
      <c r="C331" s="113"/>
    </row>
    <row r="332" spans="1:3" x14ac:dyDescent="0.4">
      <c r="A332" s="129"/>
      <c r="B332" s="122"/>
      <c r="C332" s="113"/>
    </row>
    <row r="333" spans="1:3" x14ac:dyDescent="0.4">
      <c r="A333" s="129"/>
      <c r="B333" s="147" t="s">
        <v>220</v>
      </c>
      <c r="C333" s="141"/>
    </row>
    <row r="334" spans="1:3" x14ac:dyDescent="0.4">
      <c r="A334" s="129"/>
      <c r="B334" s="135" t="s">
        <v>192</v>
      </c>
      <c r="C334" s="113"/>
    </row>
    <row r="335" spans="1:3" x14ac:dyDescent="0.4">
      <c r="A335" s="129"/>
      <c r="B335" s="138"/>
      <c r="C335" s="139"/>
    </row>
    <row r="336" spans="1:3" x14ac:dyDescent="0.4">
      <c r="A336" s="129"/>
      <c r="B336" s="147" t="s">
        <v>256</v>
      </c>
      <c r="C336" s="141"/>
    </row>
    <row r="337" spans="1:3" x14ac:dyDescent="0.4">
      <c r="A337" s="129"/>
      <c r="B337" s="133" t="s">
        <v>257</v>
      </c>
      <c r="C337" s="113"/>
    </row>
    <row r="338" spans="1:3" x14ac:dyDescent="0.4">
      <c r="A338" s="129"/>
      <c r="B338" s="133" t="s">
        <v>243</v>
      </c>
      <c r="C338" s="113"/>
    </row>
    <row r="339" spans="1:3" x14ac:dyDescent="0.4">
      <c r="A339" s="129"/>
      <c r="B339" s="133" t="s">
        <v>244</v>
      </c>
      <c r="C339" s="113"/>
    </row>
    <row r="340" spans="1:3" x14ac:dyDescent="0.4">
      <c r="A340" s="129"/>
      <c r="B340" s="133" t="s">
        <v>245</v>
      </c>
      <c r="C340" s="113"/>
    </row>
    <row r="341" spans="1:3" x14ac:dyDescent="0.4">
      <c r="A341" s="129"/>
      <c r="B341" s="133" t="s">
        <v>246</v>
      </c>
      <c r="C341" s="113"/>
    </row>
    <row r="342" spans="1:3" x14ac:dyDescent="0.4">
      <c r="A342" s="129"/>
      <c r="B342" s="138"/>
      <c r="C342" s="139"/>
    </row>
    <row r="343" spans="1:3" x14ac:dyDescent="0.4">
      <c r="A343" s="129"/>
      <c r="B343" s="147" t="s">
        <v>199</v>
      </c>
      <c r="C343" s="141"/>
    </row>
    <row r="344" spans="1:3" x14ac:dyDescent="0.4">
      <c r="A344" s="129"/>
      <c r="B344" s="136" t="s">
        <v>247</v>
      </c>
      <c r="C344" s="113"/>
    </row>
    <row r="345" spans="1:3" x14ac:dyDescent="0.4">
      <c r="A345" s="129"/>
      <c r="B345" s="149"/>
      <c r="C345" s="139"/>
    </row>
    <row r="346" spans="1:3" x14ac:dyDescent="0.4">
      <c r="A346" s="129"/>
      <c r="B346" s="150" t="s">
        <v>259</v>
      </c>
      <c r="C346" s="141"/>
    </row>
    <row r="347" spans="1:3" x14ac:dyDescent="0.4">
      <c r="A347" s="129"/>
      <c r="B347" s="133" t="s">
        <v>258</v>
      </c>
      <c r="C347" s="113"/>
    </row>
    <row r="348" spans="1:3" x14ac:dyDescent="0.4">
      <c r="A348" s="129"/>
      <c r="B348" s="146"/>
      <c r="C348" s="139"/>
    </row>
    <row r="349" spans="1:3" x14ac:dyDescent="0.4">
      <c r="A349" s="129"/>
      <c r="B349" s="151" t="s">
        <v>261</v>
      </c>
      <c r="C349" s="141"/>
    </row>
    <row r="350" spans="1:3" x14ac:dyDescent="0.4">
      <c r="A350" s="129"/>
      <c r="B350" s="133" t="s">
        <v>260</v>
      </c>
      <c r="C350" s="113"/>
    </row>
    <row r="351" spans="1:3" x14ac:dyDescent="0.4">
      <c r="A351" s="129"/>
      <c r="B351" s="146"/>
      <c r="C351" s="139"/>
    </row>
    <row r="352" spans="1:3" x14ac:dyDescent="0.4">
      <c r="A352" s="129"/>
      <c r="B352" s="147" t="s">
        <v>201</v>
      </c>
      <c r="C352" s="141"/>
    </row>
    <row r="353" spans="1:3" x14ac:dyDescent="0.4">
      <c r="A353" s="129"/>
      <c r="B353" s="133" t="s">
        <v>200</v>
      </c>
      <c r="C353" s="113"/>
    </row>
    <row r="354" spans="1:3" x14ac:dyDescent="0.4">
      <c r="A354" s="129"/>
      <c r="B354" s="138"/>
      <c r="C354" s="139"/>
    </row>
    <row r="355" spans="1:3" x14ac:dyDescent="0.4">
      <c r="A355" s="129"/>
      <c r="B355" s="147" t="s">
        <v>213</v>
      </c>
      <c r="C355" s="141"/>
    </row>
    <row r="356" spans="1:3" x14ac:dyDescent="0.4">
      <c r="A356" s="129"/>
      <c r="B356" s="133" t="s">
        <v>202</v>
      </c>
      <c r="C356" s="113"/>
    </row>
    <row r="357" spans="1:3" x14ac:dyDescent="0.4">
      <c r="A357" s="129"/>
      <c r="B357" s="138"/>
      <c r="C357" s="139"/>
    </row>
    <row r="358" spans="1:3" x14ac:dyDescent="0.4">
      <c r="A358" s="129"/>
      <c r="B358" s="147" t="s">
        <v>214</v>
      </c>
      <c r="C358" s="141"/>
    </row>
    <row r="359" spans="1:3" x14ac:dyDescent="0.4">
      <c r="A359" s="129"/>
      <c r="B359" s="133" t="s">
        <v>203</v>
      </c>
      <c r="C359" s="113"/>
    </row>
    <row r="360" spans="1:3" x14ac:dyDescent="0.4">
      <c r="A360" s="129"/>
      <c r="B360" s="133" t="s">
        <v>204</v>
      </c>
      <c r="C360" s="113"/>
    </row>
    <row r="361" spans="1:3" x14ac:dyDescent="0.4">
      <c r="A361" s="129"/>
      <c r="B361" s="138"/>
      <c r="C361" s="139"/>
    </row>
    <row r="362" spans="1:3" x14ac:dyDescent="0.4">
      <c r="A362" s="129"/>
      <c r="B362" s="147" t="s">
        <v>215</v>
      </c>
      <c r="C362" s="141"/>
    </row>
    <row r="363" spans="1:3" x14ac:dyDescent="0.4">
      <c r="A363" s="129"/>
      <c r="B363" s="133" t="s">
        <v>262</v>
      </c>
      <c r="C363" s="113"/>
    </row>
    <row r="364" spans="1:3" x14ac:dyDescent="0.4">
      <c r="A364" s="129"/>
      <c r="B364" s="133" t="s">
        <v>263</v>
      </c>
      <c r="C364" s="113"/>
    </row>
    <row r="365" spans="1:3" x14ac:dyDescent="0.4">
      <c r="A365" s="129"/>
      <c r="B365" s="138"/>
      <c r="C365" s="139"/>
    </row>
    <row r="366" spans="1:3" x14ac:dyDescent="0.4">
      <c r="A366" s="129"/>
      <c r="B366" s="147" t="s">
        <v>216</v>
      </c>
      <c r="C366" s="141"/>
    </row>
    <row r="367" spans="1:3" x14ac:dyDescent="0.4">
      <c r="A367" s="129"/>
      <c r="B367" s="133" t="s">
        <v>207</v>
      </c>
      <c r="C367" s="113"/>
    </row>
    <row r="368" spans="1:3" x14ac:dyDescent="0.4">
      <c r="A368" s="129"/>
      <c r="B368" s="133" t="s">
        <v>208</v>
      </c>
      <c r="C368" s="113"/>
    </row>
    <row r="369" spans="1:3" x14ac:dyDescent="0.4">
      <c r="A369" s="129"/>
      <c r="B369" s="138"/>
      <c r="C369" s="139"/>
    </row>
    <row r="370" spans="1:3" x14ac:dyDescent="0.4">
      <c r="A370" s="129"/>
      <c r="B370" s="147" t="s">
        <v>217</v>
      </c>
      <c r="C370" s="141"/>
    </row>
    <row r="371" spans="1:3" x14ac:dyDescent="0.4">
      <c r="A371" s="129"/>
      <c r="B371" s="133" t="s">
        <v>209</v>
      </c>
      <c r="C371" s="113"/>
    </row>
    <row r="372" spans="1:3" x14ac:dyDescent="0.4">
      <c r="A372" s="129"/>
      <c r="B372" s="133" t="s">
        <v>210</v>
      </c>
      <c r="C372" s="113"/>
    </row>
    <row r="373" spans="1:3" x14ac:dyDescent="0.4">
      <c r="A373" s="129"/>
      <c r="B373" s="138"/>
      <c r="C373" s="139"/>
    </row>
    <row r="374" spans="1:3" x14ac:dyDescent="0.4">
      <c r="A374" s="129"/>
      <c r="B374" s="147" t="s">
        <v>212</v>
      </c>
      <c r="C374" s="141"/>
    </row>
    <row r="375" spans="1:3" x14ac:dyDescent="0.4">
      <c r="A375" s="129"/>
      <c r="B375" s="133" t="s">
        <v>264</v>
      </c>
      <c r="C375" s="113"/>
    </row>
    <row r="376" spans="1:3" x14ac:dyDescent="0.4">
      <c r="A376" s="129"/>
      <c r="B376" s="138"/>
      <c r="C376" s="139"/>
    </row>
    <row r="377" spans="1:3" x14ac:dyDescent="0.4">
      <c r="A377" s="129"/>
      <c r="B377" s="140" t="s">
        <v>226</v>
      </c>
      <c r="C377" s="141"/>
    </row>
    <row r="378" spans="1:3" x14ac:dyDescent="0.4">
      <c r="A378" s="129"/>
      <c r="B378" s="133" t="s">
        <v>225</v>
      </c>
      <c r="C378" s="113"/>
    </row>
    <row r="379" spans="1:3" x14ac:dyDescent="0.4">
      <c r="A379" s="129"/>
      <c r="B379" s="137" t="s">
        <v>227</v>
      </c>
      <c r="C379" s="113"/>
    </row>
    <row r="380" spans="1:3" x14ac:dyDescent="0.4">
      <c r="A380" s="129"/>
      <c r="B380" s="148"/>
      <c r="C380" s="139"/>
    </row>
    <row r="381" spans="1:3" x14ac:dyDescent="0.4">
      <c r="A381" s="129"/>
      <c r="B381" s="140" t="s">
        <v>228</v>
      </c>
      <c r="C381" s="141"/>
    </row>
    <row r="382" spans="1:3" x14ac:dyDescent="0.4">
      <c r="A382" s="129"/>
      <c r="B382" s="133" t="s">
        <v>229</v>
      </c>
      <c r="C382" s="113"/>
    </row>
    <row r="383" spans="1:3" x14ac:dyDescent="0.4">
      <c r="A383" s="129"/>
      <c r="B383" s="138"/>
      <c r="C383" s="139"/>
    </row>
    <row r="384" spans="1:3" x14ac:dyDescent="0.4">
      <c r="A384" s="129"/>
      <c r="B384" s="140" t="s">
        <v>222</v>
      </c>
      <c r="C384" s="141"/>
    </row>
    <row r="385" spans="1:3" x14ac:dyDescent="0.4">
      <c r="A385" s="129"/>
      <c r="B385" s="133" t="s">
        <v>221</v>
      </c>
      <c r="C385" s="113"/>
    </row>
    <row r="386" spans="1:3" x14ac:dyDescent="0.4">
      <c r="A386" s="129"/>
      <c r="B386" s="138"/>
      <c r="C386" s="139"/>
    </row>
    <row r="387" spans="1:3" x14ac:dyDescent="0.4">
      <c r="A387" s="129"/>
      <c r="B387" s="140" t="s">
        <v>223</v>
      </c>
      <c r="C387" s="141"/>
    </row>
    <row r="388" spans="1:3" x14ac:dyDescent="0.4">
      <c r="A388" s="129"/>
      <c r="B388" s="133" t="s">
        <v>224</v>
      </c>
      <c r="C388" s="113"/>
    </row>
    <row r="389" spans="1:3" x14ac:dyDescent="0.4">
      <c r="A389" s="129"/>
      <c r="B389" s="138"/>
      <c r="C389" s="139"/>
    </row>
    <row r="390" spans="1:3" x14ac:dyDescent="0.4">
      <c r="A390" s="129"/>
      <c r="B390" s="147" t="s">
        <v>266</v>
      </c>
      <c r="C390" s="141"/>
    </row>
    <row r="391" spans="1:3" x14ac:dyDescent="0.4">
      <c r="A391" s="129"/>
      <c r="B391" s="133" t="s">
        <v>265</v>
      </c>
      <c r="C391" s="113"/>
    </row>
    <row r="392" spans="1:3" x14ac:dyDescent="0.4">
      <c r="A392" s="129"/>
      <c r="B392" s="146"/>
      <c r="C392" s="139"/>
    </row>
    <row r="393" spans="1:3" x14ac:dyDescent="0.4">
      <c r="A393" s="129"/>
      <c r="B393" s="147" t="s">
        <v>267</v>
      </c>
      <c r="C393" s="141"/>
    </row>
    <row r="394" spans="1:3" x14ac:dyDescent="0.4">
      <c r="A394" s="129"/>
      <c r="B394" s="133" t="s">
        <v>268</v>
      </c>
      <c r="C394" s="113"/>
    </row>
    <row r="395" spans="1:3" x14ac:dyDescent="0.4">
      <c r="A395" s="129"/>
      <c r="B395" s="138"/>
      <c r="C395" s="139"/>
    </row>
    <row r="396" spans="1:3" x14ac:dyDescent="0.4">
      <c r="A396" s="129"/>
      <c r="B396" s="147" t="s">
        <v>270</v>
      </c>
      <c r="C396" s="141"/>
    </row>
    <row r="397" spans="1:3" x14ac:dyDescent="0.4">
      <c r="A397" s="129"/>
      <c r="B397" s="133" t="s">
        <v>269</v>
      </c>
      <c r="C397" s="113"/>
    </row>
    <row r="398" spans="1:3" x14ac:dyDescent="0.4">
      <c r="A398" s="129"/>
      <c r="B398" s="138"/>
      <c r="C398" s="139"/>
    </row>
    <row r="399" spans="1:3" x14ac:dyDescent="0.4">
      <c r="A399" s="129"/>
      <c r="B399" s="122" t="s">
        <v>271</v>
      </c>
      <c r="C399" s="113"/>
    </row>
    <row r="400" spans="1:3" x14ac:dyDescent="0.4">
      <c r="A400" s="129"/>
      <c r="B400" s="133" t="s">
        <v>272</v>
      </c>
      <c r="C400" s="113"/>
    </row>
    <row r="401" spans="1:3" x14ac:dyDescent="0.4">
      <c r="A401" s="130"/>
      <c r="B401" s="123"/>
      <c r="C401" s="114"/>
    </row>
    <row r="402" spans="1:3" x14ac:dyDescent="0.4">
      <c r="A402" s="127" t="s">
        <v>132</v>
      </c>
      <c r="B402" s="132" t="s">
        <v>276</v>
      </c>
      <c r="C402" s="121"/>
    </row>
    <row r="403" spans="1:3" x14ac:dyDescent="0.4">
      <c r="A403" s="128" t="s">
        <v>132</v>
      </c>
      <c r="B403" s="133" t="s">
        <v>275</v>
      </c>
      <c r="C403" s="113"/>
    </row>
    <row r="404" spans="1:3" x14ac:dyDescent="0.4">
      <c r="A404" s="129"/>
      <c r="B404" s="138"/>
      <c r="C404" s="139"/>
    </row>
    <row r="405" spans="1:3" x14ac:dyDescent="0.4">
      <c r="A405" s="129"/>
      <c r="B405" s="122" t="s">
        <v>278</v>
      </c>
      <c r="C405" s="113"/>
    </row>
    <row r="406" spans="1:3" x14ac:dyDescent="0.4">
      <c r="A406" s="129"/>
      <c r="B406" s="133" t="s">
        <v>277</v>
      </c>
      <c r="C406" s="113"/>
    </row>
    <row r="407" spans="1:3" x14ac:dyDescent="0.4">
      <c r="A407" s="130"/>
      <c r="B407" s="123"/>
      <c r="C407" s="114"/>
    </row>
    <row r="408" spans="1:3" x14ac:dyDescent="0.4">
      <c r="A408" s="102" t="s">
        <v>139</v>
      </c>
      <c r="B408" s="132" t="s">
        <v>279</v>
      </c>
      <c r="C408" s="121"/>
    </row>
    <row r="409" spans="1:3" x14ac:dyDescent="0.4">
      <c r="A409" s="124" t="s">
        <v>139</v>
      </c>
      <c r="B409" s="133" t="s">
        <v>148</v>
      </c>
      <c r="C409" s="113"/>
    </row>
    <row r="410" spans="1:3" x14ac:dyDescent="0.4">
      <c r="A410" s="104"/>
      <c r="B410" s="122" t="s">
        <v>144</v>
      </c>
      <c r="C410" s="113"/>
    </row>
    <row r="411" spans="1:3" x14ac:dyDescent="0.4">
      <c r="A411" s="104"/>
      <c r="B411" s="122" t="s">
        <v>143</v>
      </c>
      <c r="C411" s="113"/>
    </row>
    <row r="412" spans="1:3" x14ac:dyDescent="0.4">
      <c r="A412" s="104"/>
      <c r="B412" s="138" t="s">
        <v>147</v>
      </c>
      <c r="C412" s="139"/>
    </row>
    <row r="413" spans="1:3" x14ac:dyDescent="0.4">
      <c r="A413" s="142"/>
      <c r="B413" s="140" t="s">
        <v>280</v>
      </c>
      <c r="C413" s="141"/>
    </row>
    <row r="414" spans="1:3" x14ac:dyDescent="0.4">
      <c r="A414" s="142"/>
      <c r="B414" s="122" t="s">
        <v>152</v>
      </c>
      <c r="C414" s="113"/>
    </row>
    <row r="415" spans="1:3" x14ac:dyDescent="0.4">
      <c r="A415" s="142"/>
      <c r="B415" s="122" t="s">
        <v>153</v>
      </c>
      <c r="C415" s="113"/>
    </row>
    <row r="416" spans="1:3" x14ac:dyDescent="0.4">
      <c r="A416" s="142"/>
      <c r="B416" s="122" t="s">
        <v>154</v>
      </c>
      <c r="C416" s="113"/>
    </row>
    <row r="417" spans="1:3" x14ac:dyDescent="0.4">
      <c r="A417" s="142"/>
      <c r="B417" s="122" t="s">
        <v>155</v>
      </c>
      <c r="C417" s="113"/>
    </row>
    <row r="418" spans="1:3" x14ac:dyDescent="0.4">
      <c r="A418" s="143"/>
      <c r="B418" s="123" t="s">
        <v>156</v>
      </c>
      <c r="C418" s="114"/>
    </row>
  </sheetData>
  <mergeCells count="4">
    <mergeCell ref="A93:B93"/>
    <mergeCell ref="A134:C134"/>
    <mergeCell ref="A148:C148"/>
    <mergeCell ref="A183:C183"/>
  </mergeCells>
  <hyperlinks>
    <hyperlink ref="A6" location="'Base client'!B2" display="Base client" xr:uid="{EDAB69EB-E0DB-4623-A9FB-4D47DA138B22}"/>
    <hyperlink ref="A9" location="'Liste produits'!A2" display="Liste produits" xr:uid="{C230D70E-282D-4670-B977-5C07A18C3C7F}"/>
    <hyperlink ref="A12" location="Devis!E7" display="Devis" xr:uid="{73B6B409-356F-4641-BA26-F72B43D1562C}"/>
    <hyperlink ref="A19" location="'Récap devis'!C2" display="Récap devis" xr:uid="{B58DE945-DAC0-442C-ABAE-2B81EE9E7693}"/>
    <hyperlink ref="A24" location="Facture!E7" display="Facture" xr:uid="{9AD04E17-A699-4840-A593-96654E5B36A1}"/>
    <hyperlink ref="A31" location="'Facture (Suite devis)'!F5" display="'Facture (Suite devis)" xr:uid="{717C0687-0F2C-4551-A2BE-A9F4B669C289}"/>
    <hyperlink ref="A38" location="'Récap facture'!C2" display="'Récap facture" xr:uid="{4ADFF510-AFFF-42F2-B7F4-D03446F955D1}"/>
    <hyperlink ref="A43" location="Paramètres!A1" display="Paramètres" xr:uid="{80F6DE92-3ED9-4CFA-BC07-F1F9140A1272}"/>
    <hyperlink ref="A95" location="'Base client'!B2" display="Base client" xr:uid="{9057DD57-6E60-4606-B375-4C0779A072FC}"/>
    <hyperlink ref="A99" location="'Liste produits'!A2" display="Liste produits" xr:uid="{4FA9EA44-9C0F-49EB-A627-62F86DB67C50}"/>
    <hyperlink ref="A103" location="Devis!E7" display="Devis" xr:uid="{7FACD9B2-D431-4708-ABA5-5B795C425571}"/>
    <hyperlink ref="A136" location="Devis!E7" display="Devis" xr:uid="{134BA373-9904-411A-BC24-52946D1CC0F5}"/>
    <hyperlink ref="A150" location="Devis!E7" display="Devis" xr:uid="{4A454578-5F7F-4F90-B9E8-629211B4F4BF}"/>
    <hyperlink ref="A111" location="'Récap devis'!C2" display="Récap devis" xr:uid="{A3EEB274-544B-4655-B875-E4711059301C}"/>
    <hyperlink ref="A115" location="Facture!E7" display="Facture" xr:uid="{9EAD550E-10AF-46D1-A7C4-4B7CF977FA27}"/>
    <hyperlink ref="A140" location="Facture!E7" display="Facture" xr:uid="{352C3E33-B8BA-4E65-845B-C9F917952A0D}"/>
    <hyperlink ref="A161" location="Facture!E7" display="Facture" xr:uid="{F3C0DCAA-93A1-48EF-97AF-28AE845410BE}"/>
    <hyperlink ref="A123" location="'Facture (Suite devis)'!F5" display="'Facture (Suite devis)" xr:uid="{C27CB42E-0DAF-4DDE-A3F5-DB4EFDFBAD10}"/>
    <hyperlink ref="A144" location="'Facture (Suite devis)'!F5" display="'Facture (Suite devis)" xr:uid="{FABC260D-1517-4288-8733-B27317B44B19}"/>
    <hyperlink ref="A172" location="'Facture (Suite devis)'!F5" display="'Facture (Suite devis)" xr:uid="{FF21AE3B-36F9-4E1F-B07D-9A2B01CB7491}"/>
    <hyperlink ref="A131" location="'Récap facture'!C2" display="'Récap facture" xr:uid="{375F01FB-BC67-4A1C-ADA3-7BA5FC314471}"/>
    <hyperlink ref="A185" location="'Base client'!B2" display="Base client" xr:uid="{B9EEFEBF-AE3D-4C85-B49B-DB027FE5F7A8}"/>
    <hyperlink ref="A194" location="'Liste produits'!A2" display="Liste produits" xr:uid="{92B8916A-7492-4431-965D-4243B1659C86}"/>
    <hyperlink ref="A200" location="Devis!E7" display="Devis" xr:uid="{17C70ED7-498D-48CB-8D87-E62ABA185F1A}"/>
    <hyperlink ref="A257" location="'Récap devis'!C2" display="Récap devis" xr:uid="{C210A032-BB7D-4021-93D8-57D19FFE9661}"/>
    <hyperlink ref="A273" location="Facture!E7" display="Facture" xr:uid="{904DB5C3-AA1F-46E8-A55C-1A61E6748F67}"/>
    <hyperlink ref="A331" location="'Facture (Suite devis)'!F5" display="'Facture (Suite devis)" xr:uid="{9FF7F3ED-44CD-497B-AA1B-2CE5A6D7CD16}"/>
    <hyperlink ref="A403" location="'Récap facture'!C2" display="'Récap facture" xr:uid="{44282A8A-296F-4262-8BF4-2C6F196B6EFB}"/>
    <hyperlink ref="A409" location="Paramètres!A1" display="Paramètres" xr:uid="{0E3ED820-56E7-4C80-8379-7C560C2D1551}"/>
  </hyperlink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65ECC-DC1A-4850-A907-013E0DE90C0B}">
  <sheetPr codeName="Feuil6"/>
  <dimension ref="A1:T35"/>
  <sheetViews>
    <sheetView showGridLines="0" workbookViewId="0">
      <selection activeCell="B2" sqref="B2:C2"/>
    </sheetView>
  </sheetViews>
  <sheetFormatPr baseColWidth="10" defaultRowHeight="16.8" outlineLevelRow="1" x14ac:dyDescent="0.4"/>
  <cols>
    <col min="1" max="1" width="9.5" bestFit="1" customWidth="1"/>
    <col min="3" max="3" width="13.09765625" customWidth="1"/>
    <col min="4" max="4" width="13.3984375" customWidth="1"/>
    <col min="5" max="5" width="25.59765625" bestFit="1" customWidth="1"/>
    <col min="6" max="7" width="13.19921875" bestFit="1" customWidth="1"/>
    <col min="8" max="8" width="7.3984375" bestFit="1" customWidth="1"/>
    <col min="9" max="9" width="19.19921875" bestFit="1" customWidth="1"/>
    <col min="10" max="10" width="15.3984375" customWidth="1"/>
    <col min="11" max="11" width="33.19921875" bestFit="1" customWidth="1"/>
    <col min="12" max="12" width="27.09765625" bestFit="1" customWidth="1"/>
  </cols>
  <sheetData>
    <row r="1" spans="1:20" ht="5.0999999999999996" customHeight="1" x14ac:dyDescent="0.4"/>
    <row r="2" spans="1:20" s="82" customFormat="1" ht="15.9" customHeight="1" x14ac:dyDescent="0.4">
      <c r="B2" s="176" t="s">
        <v>74</v>
      </c>
      <c r="C2" s="176"/>
      <c r="D2" s="177" t="s">
        <v>78</v>
      </c>
      <c r="E2" s="178"/>
      <c r="I2" s="84" t="str">
        <f t="array" aca="1" ref="I2" ca="1">IFERROR(HYPERLINK("#"&amp;ADDRESS(INDIRECT(ADDRESS(4,MATCH(1,(A4:L4&gt;0)*1,0))),MATCH(1,(A4:L4&gt;0)*1,0)),"Chercher client"),"Chercher client")</f>
        <v>Chercher client</v>
      </c>
      <c r="K2" s="85"/>
    </row>
    <row r="3" spans="1:20" ht="5.0999999999999996" customHeight="1" x14ac:dyDescent="0.4"/>
    <row r="4" spans="1:20" hidden="1" outlineLevel="1" x14ac:dyDescent="0.4">
      <c r="A4" s="83" t="e">
        <f>MATCH($D$2,T_Clients[Code],0)+6</f>
        <v>#N/A</v>
      </c>
      <c r="B4" s="83" t="e">
        <f>MATCH($D$2,T_Clients[Civilité],0)+6</f>
        <v>#N/A</v>
      </c>
      <c r="C4" s="83" t="e">
        <f>MATCH($D$2,T_Clients[Nom],0)+6</f>
        <v>#N/A</v>
      </c>
      <c r="D4" s="83" t="e">
        <f>MATCH($D$2,T_Clients[Prénom],0)+6</f>
        <v>#N/A</v>
      </c>
      <c r="E4" s="83" t="e">
        <f>MATCH($D$2,T_Clients[Adresse1],0)+6</f>
        <v>#N/A</v>
      </c>
      <c r="F4" s="83" t="e">
        <f>MATCH($D$2,T_Clients[Adresse2],0)+6</f>
        <v>#N/A</v>
      </c>
      <c r="G4" s="83" t="e">
        <f>MATCH($D$2,T_Clients[Adresse3],0)+6</f>
        <v>#N/A</v>
      </c>
      <c r="H4" s="83" t="e">
        <f>MATCH($D$2,T_Clients[CP],0)+6</f>
        <v>#N/A</v>
      </c>
      <c r="I4" s="83" t="e">
        <f>MATCH($D$2,T_Clients[Ville],0)+6</f>
        <v>#N/A</v>
      </c>
      <c r="J4" s="83" t="e">
        <f>MATCH($D$2,T_Clients[Téléphone],0)+6</f>
        <v>#N/A</v>
      </c>
      <c r="K4" s="83" t="e">
        <f>MATCH($D$2,T_Clients[Mail],0)+6</f>
        <v>#N/A</v>
      </c>
      <c r="L4" s="83" t="e">
        <f>MATCH($D$2,T_Clients[Client],0)+6</f>
        <v>#N/A</v>
      </c>
      <c r="N4" t="s">
        <v>75</v>
      </c>
      <c r="O4" s="86" t="s">
        <v>76</v>
      </c>
    </row>
    <row r="5" spans="1:20" collapsed="1" x14ac:dyDescent="0.4"/>
    <row r="6" spans="1:20" s="25" customFormat="1" x14ac:dyDescent="0.4">
      <c r="A6" s="25" t="s">
        <v>0</v>
      </c>
      <c r="B6" s="25" t="s">
        <v>35</v>
      </c>
      <c r="C6" s="25" t="s">
        <v>40</v>
      </c>
      <c r="D6" s="25" t="s">
        <v>41</v>
      </c>
      <c r="E6" s="25" t="s">
        <v>42</v>
      </c>
      <c r="F6" s="25" t="s">
        <v>43</v>
      </c>
      <c r="G6" s="25" t="s">
        <v>44</v>
      </c>
      <c r="H6" s="25" t="s">
        <v>45</v>
      </c>
      <c r="I6" s="25" t="s">
        <v>46</v>
      </c>
      <c r="J6" s="25" t="s">
        <v>47</v>
      </c>
      <c r="K6" s="25" t="s">
        <v>48</v>
      </c>
      <c r="L6" s="25" t="s">
        <v>22</v>
      </c>
    </row>
    <row r="7" spans="1:20" x14ac:dyDescent="0.4">
      <c r="A7" s="24"/>
      <c r="H7" s="42"/>
      <c r="J7" s="43"/>
      <c r="K7" s="24"/>
    </row>
    <row r="15" spans="1:20" x14ac:dyDescent="0.4">
      <c r="N15" s="24"/>
      <c r="R15" s="42"/>
      <c r="T15" s="43"/>
    </row>
    <row r="16" spans="1:20" x14ac:dyDescent="0.4">
      <c r="N16" s="24"/>
      <c r="R16" s="42"/>
      <c r="T16" s="43"/>
    </row>
    <row r="17" spans="14:20" x14ac:dyDescent="0.4">
      <c r="N17" s="24"/>
      <c r="R17" s="42"/>
      <c r="T17" s="43"/>
    </row>
    <row r="18" spans="14:20" x14ac:dyDescent="0.4">
      <c r="N18" s="24"/>
      <c r="R18" s="42"/>
      <c r="T18" s="43"/>
    </row>
    <row r="19" spans="14:20" x14ac:dyDescent="0.4">
      <c r="N19" s="24"/>
      <c r="R19" s="42"/>
      <c r="T19" s="43"/>
    </row>
    <row r="20" spans="14:20" x14ac:dyDescent="0.4">
      <c r="N20" s="24"/>
      <c r="R20" s="42"/>
      <c r="T20" s="43"/>
    </row>
    <row r="21" spans="14:20" x14ac:dyDescent="0.4">
      <c r="N21" s="24"/>
      <c r="R21" s="42"/>
      <c r="T21" s="43"/>
    </row>
    <row r="22" spans="14:20" x14ac:dyDescent="0.4">
      <c r="N22" s="24"/>
      <c r="R22" s="42"/>
      <c r="T22" s="43"/>
    </row>
    <row r="23" spans="14:20" x14ac:dyDescent="0.4">
      <c r="N23" s="24"/>
      <c r="R23" s="42"/>
      <c r="T23" s="43"/>
    </row>
    <row r="24" spans="14:20" x14ac:dyDescent="0.4">
      <c r="N24" s="24"/>
      <c r="R24" s="42"/>
      <c r="T24" s="43"/>
    </row>
    <row r="25" spans="14:20" x14ac:dyDescent="0.4">
      <c r="N25" s="24"/>
      <c r="R25" s="42"/>
      <c r="T25" s="43"/>
    </row>
    <row r="26" spans="14:20" x14ac:dyDescent="0.4">
      <c r="N26" s="24"/>
      <c r="R26" s="42"/>
      <c r="T26" s="43"/>
    </row>
    <row r="27" spans="14:20" x14ac:dyDescent="0.4">
      <c r="N27" s="24"/>
      <c r="R27" s="42"/>
      <c r="T27" s="43"/>
    </row>
    <row r="28" spans="14:20" x14ac:dyDescent="0.4">
      <c r="N28" s="24"/>
      <c r="R28" s="42"/>
      <c r="T28" s="43"/>
    </row>
    <row r="29" spans="14:20" x14ac:dyDescent="0.4">
      <c r="N29" s="24"/>
      <c r="R29" s="42"/>
      <c r="T29" s="43"/>
    </row>
    <row r="30" spans="14:20" x14ac:dyDescent="0.4">
      <c r="N30" s="24"/>
      <c r="R30" s="42"/>
      <c r="T30" s="43"/>
    </row>
    <row r="31" spans="14:20" x14ac:dyDescent="0.4">
      <c r="N31" s="24"/>
      <c r="R31" s="42"/>
      <c r="T31" s="43"/>
    </row>
    <row r="32" spans="14:20" x14ac:dyDescent="0.4">
      <c r="N32" s="24"/>
      <c r="R32" s="42"/>
      <c r="T32" s="43"/>
    </row>
    <row r="33" spans="14:20" x14ac:dyDescent="0.4">
      <c r="N33" s="24"/>
      <c r="R33" s="42"/>
      <c r="T33" s="43"/>
    </row>
    <row r="34" spans="14:20" x14ac:dyDescent="0.4">
      <c r="N34" s="24"/>
      <c r="R34" s="42"/>
      <c r="T34" s="43"/>
    </row>
    <row r="35" spans="14:20" x14ac:dyDescent="0.4">
      <c r="N35" s="24"/>
      <c r="R35" s="42"/>
      <c r="T35" s="43"/>
    </row>
  </sheetData>
  <sheetProtection selectLockedCells="1"/>
  <mergeCells count="2">
    <mergeCell ref="B2:C2"/>
    <mergeCell ref="D2:E2"/>
  </mergeCells>
  <conditionalFormatting sqref="A7:L7">
    <cfRule type="expression" dxfId="92" priority="1">
      <formula>OR($A7=$D$2,$C7=$D$2,$D7=$D$2,$H7=$D$2,$I7=$D$2)</formula>
    </cfRule>
  </conditionalFormatting>
  <dataValidations count="1">
    <dataValidation allowBlank="1" showInputMessage="1" showErrorMessage="1" promptTitle="Recherche sur :" prompt="Le code, le nom, le prénom, le CP ou la ville._x000a__x000a_Saisir l'élément à rechercher ou un espace pour supprimer la MFC._x000a__x000a_Pour le CP saisir ' devant le CP." sqref="D2:E2" xr:uid="{5F3D7EC5-7EF5-4D8B-9C88-E1CD38A4BF62}"/>
  </dataValidations>
  <hyperlinks>
    <hyperlink ref="O4" r:id="rId1" xr:uid="{CA955E48-D617-4245-990E-6D88A6A82987}"/>
  </hyperlinks>
  <pageMargins left="0.7" right="0.7" top="0.75" bottom="0.75" header="0.3" footer="0.3"/>
  <pageSetup paperSize="9" orientation="portrait" horizontalDpi="4294967293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05F36-219D-4E0D-9CEA-46623309ED5A}">
  <sheetPr codeName="Feuil7"/>
  <dimension ref="A1:K34"/>
  <sheetViews>
    <sheetView showGridLines="0" workbookViewId="0">
      <selection activeCell="A2" sqref="A2"/>
    </sheetView>
  </sheetViews>
  <sheetFormatPr baseColWidth="10" defaultColWidth="11" defaultRowHeight="16.8" outlineLevelRow="1" x14ac:dyDescent="0.4"/>
  <cols>
    <col min="1" max="1" width="14.8984375" style="94" bestFit="1" customWidth="1"/>
    <col min="2" max="2" width="35.59765625" style="94" customWidth="1"/>
    <col min="3" max="3" width="12.69921875" style="94" bestFit="1" customWidth="1"/>
    <col min="4" max="4" width="18.09765625" style="94" bestFit="1" customWidth="1"/>
    <col min="5" max="16384" width="11" style="94"/>
  </cols>
  <sheetData>
    <row r="1" spans="1:11" ht="5.0999999999999996" customHeight="1" x14ac:dyDescent="0.4"/>
    <row r="2" spans="1:11" s="96" customFormat="1" ht="15.9" customHeight="1" x14ac:dyDescent="0.4">
      <c r="A2" s="95" t="s">
        <v>109</v>
      </c>
      <c r="B2" s="100"/>
      <c r="D2" s="97" t="str">
        <f t="array" aca="1" ref="D2" ca="1">IFERROR(HYPERLINK("#"&amp;ADDRESS(INDIRECT(ADDRESS(4,MATCH(1,(A4:B4&gt;0)*1,0))),MATCH(1,(A4:B4&gt;0)*1,0)),"Chercher produit"),"Chercher produit")</f>
        <v>Chercher produit</v>
      </c>
      <c r="K2" s="98"/>
    </row>
    <row r="3" spans="1:11" ht="5.0999999999999996" customHeight="1" x14ac:dyDescent="0.4"/>
    <row r="4" spans="1:11" hidden="1" outlineLevel="1" x14ac:dyDescent="0.4">
      <c r="A4" s="91" t="e">
        <f>MATCH($B$2,T_Produits[Code],0)+6</f>
        <v>#N/A</v>
      </c>
      <c r="B4" s="91" t="e">
        <f>MATCH($B$2,T_Produits[Produits],0)+6</f>
        <v>#N/A</v>
      </c>
    </row>
    <row r="5" spans="1:11" collapsed="1" x14ac:dyDescent="0.4"/>
    <row r="6" spans="1:11" x14ac:dyDescent="0.4">
      <c r="A6" s="99" t="s">
        <v>0</v>
      </c>
      <c r="B6" s="99" t="s">
        <v>61</v>
      </c>
      <c r="C6" s="99" t="s">
        <v>3</v>
      </c>
    </row>
    <row r="7" spans="1:11" x14ac:dyDescent="0.4">
      <c r="A7" s="99">
        <v>1</v>
      </c>
      <c r="B7" s="78" t="s">
        <v>82</v>
      </c>
      <c r="C7" s="93">
        <v>55</v>
      </c>
    </row>
    <row r="8" spans="1:11" x14ac:dyDescent="0.4">
      <c r="A8" s="99">
        <v>2</v>
      </c>
      <c r="B8" s="78" t="s">
        <v>83</v>
      </c>
      <c r="C8" s="93">
        <v>35</v>
      </c>
    </row>
    <row r="9" spans="1:11" x14ac:dyDescent="0.4">
      <c r="A9" s="99">
        <v>3</v>
      </c>
      <c r="B9" s="78" t="s">
        <v>84</v>
      </c>
      <c r="C9" s="93">
        <v>20</v>
      </c>
    </row>
    <row r="10" spans="1:11" x14ac:dyDescent="0.4">
      <c r="A10" s="99">
        <v>4</v>
      </c>
      <c r="B10" s="78" t="s">
        <v>85</v>
      </c>
      <c r="C10" s="93">
        <v>65</v>
      </c>
    </row>
    <row r="11" spans="1:11" x14ac:dyDescent="0.4">
      <c r="A11" s="99">
        <v>5</v>
      </c>
      <c r="B11" s="78" t="s">
        <v>86</v>
      </c>
      <c r="C11" s="93">
        <v>30</v>
      </c>
    </row>
    <row r="12" spans="1:11" x14ac:dyDescent="0.4">
      <c r="A12" s="99">
        <v>6</v>
      </c>
      <c r="B12" s="78" t="s">
        <v>87</v>
      </c>
      <c r="C12" s="93">
        <v>60</v>
      </c>
    </row>
    <row r="13" spans="1:11" x14ac:dyDescent="0.4">
      <c r="A13" s="99">
        <v>7</v>
      </c>
      <c r="B13" s="78" t="s">
        <v>88</v>
      </c>
      <c r="C13" s="93">
        <v>0.5</v>
      </c>
    </row>
    <row r="14" spans="1:11" x14ac:dyDescent="0.4">
      <c r="A14" s="99">
        <v>8</v>
      </c>
      <c r="B14" s="78" t="s">
        <v>89</v>
      </c>
      <c r="C14" s="93">
        <v>70</v>
      </c>
    </row>
    <row r="15" spans="1:11" x14ac:dyDescent="0.4">
      <c r="A15" s="99">
        <v>9</v>
      </c>
      <c r="B15" s="78" t="s">
        <v>90</v>
      </c>
      <c r="C15" s="93">
        <v>50</v>
      </c>
    </row>
    <row r="16" spans="1:11" x14ac:dyDescent="0.4">
      <c r="A16" s="99">
        <v>10</v>
      </c>
      <c r="B16" s="78" t="s">
        <v>91</v>
      </c>
      <c r="C16" s="93">
        <v>50</v>
      </c>
    </row>
    <row r="17" spans="1:3" x14ac:dyDescent="0.4">
      <c r="A17" s="99">
        <v>11</v>
      </c>
      <c r="B17" s="78" t="s">
        <v>92</v>
      </c>
      <c r="C17" s="93">
        <v>70</v>
      </c>
    </row>
    <row r="18" spans="1:3" x14ac:dyDescent="0.4">
      <c r="A18" s="99">
        <v>12</v>
      </c>
      <c r="B18" s="78" t="s">
        <v>93</v>
      </c>
      <c r="C18" s="93">
        <v>90</v>
      </c>
    </row>
    <row r="19" spans="1:3" x14ac:dyDescent="0.4">
      <c r="A19" s="99">
        <v>13</v>
      </c>
      <c r="B19" s="78" t="s">
        <v>94</v>
      </c>
      <c r="C19" s="93">
        <v>110</v>
      </c>
    </row>
    <row r="20" spans="1:3" x14ac:dyDescent="0.4">
      <c r="A20" s="99">
        <v>14</v>
      </c>
      <c r="B20" s="78" t="s">
        <v>95</v>
      </c>
      <c r="C20" s="93">
        <v>130</v>
      </c>
    </row>
    <row r="21" spans="1:3" x14ac:dyDescent="0.4">
      <c r="A21" s="99">
        <v>15</v>
      </c>
      <c r="B21" s="78" t="s">
        <v>96</v>
      </c>
      <c r="C21" s="93">
        <v>220</v>
      </c>
    </row>
    <row r="22" spans="1:3" x14ac:dyDescent="0.4">
      <c r="A22" s="99">
        <v>16</v>
      </c>
      <c r="B22" s="78" t="s">
        <v>97</v>
      </c>
      <c r="C22" s="93">
        <v>320</v>
      </c>
    </row>
    <row r="23" spans="1:3" x14ac:dyDescent="0.4">
      <c r="A23" s="99">
        <v>17</v>
      </c>
      <c r="B23" s="78" t="s">
        <v>98</v>
      </c>
      <c r="C23" s="93">
        <v>420</v>
      </c>
    </row>
    <row r="24" spans="1:3" x14ac:dyDescent="0.4">
      <c r="A24" s="99">
        <v>18</v>
      </c>
      <c r="B24" s="78" t="s">
        <v>99</v>
      </c>
      <c r="C24" s="93">
        <v>5.45</v>
      </c>
    </row>
    <row r="25" spans="1:3" x14ac:dyDescent="0.4">
      <c r="A25" s="99">
        <v>19</v>
      </c>
      <c r="B25" s="78" t="s">
        <v>100</v>
      </c>
      <c r="C25" s="93">
        <v>8.99</v>
      </c>
    </row>
    <row r="26" spans="1:3" x14ac:dyDescent="0.4">
      <c r="A26" s="99">
        <v>20</v>
      </c>
      <c r="B26" s="78" t="s">
        <v>101</v>
      </c>
      <c r="C26" s="93">
        <v>16.989999999999998</v>
      </c>
    </row>
    <row r="27" spans="1:3" x14ac:dyDescent="0.4">
      <c r="A27" s="99">
        <v>21</v>
      </c>
      <c r="B27" s="78" t="s">
        <v>102</v>
      </c>
      <c r="C27" s="93">
        <v>33.99</v>
      </c>
    </row>
    <row r="28" spans="1:3" x14ac:dyDescent="0.4">
      <c r="A28" s="99">
        <v>22</v>
      </c>
      <c r="B28" s="78" t="s">
        <v>103</v>
      </c>
      <c r="C28" s="93">
        <v>129</v>
      </c>
    </row>
    <row r="29" spans="1:3" x14ac:dyDescent="0.4">
      <c r="A29" s="99">
        <v>23</v>
      </c>
      <c r="B29" s="78" t="s">
        <v>104</v>
      </c>
      <c r="C29" s="93">
        <v>71.900000000000006</v>
      </c>
    </row>
    <row r="30" spans="1:3" x14ac:dyDescent="0.4">
      <c r="A30" s="99">
        <v>24</v>
      </c>
      <c r="B30" s="78" t="s">
        <v>105</v>
      </c>
      <c r="C30" s="93">
        <v>97.9</v>
      </c>
    </row>
    <row r="31" spans="1:3" x14ac:dyDescent="0.4">
      <c r="A31" s="99">
        <v>25</v>
      </c>
      <c r="B31" s="78" t="s">
        <v>106</v>
      </c>
      <c r="C31" s="93">
        <v>178.9</v>
      </c>
    </row>
    <row r="32" spans="1:3" x14ac:dyDescent="0.4">
      <c r="A32" s="99">
        <v>26</v>
      </c>
      <c r="B32" s="78" t="s">
        <v>107</v>
      </c>
      <c r="C32" s="93">
        <v>65</v>
      </c>
    </row>
    <row r="33" spans="1:3" x14ac:dyDescent="0.4">
      <c r="A33" s="99">
        <v>27</v>
      </c>
      <c r="B33" s="78" t="s">
        <v>108</v>
      </c>
      <c r="C33" s="93">
        <v>125</v>
      </c>
    </row>
    <row r="34" spans="1:3" x14ac:dyDescent="0.4">
      <c r="A34" s="99">
        <v>28</v>
      </c>
      <c r="B34" s="78" t="s">
        <v>110</v>
      </c>
      <c r="C34" s="93">
        <v>550</v>
      </c>
    </row>
  </sheetData>
  <conditionalFormatting sqref="A7:C34">
    <cfRule type="expression" dxfId="86" priority="1">
      <formula>OR($A7=$B$2,$B7=$B$2)</formula>
    </cfRule>
  </conditionalFormatting>
  <dataValidations count="1">
    <dataValidation allowBlank="1" showInputMessage="1" showErrorMessage="1" promptTitle="Recherche sur :" prompt="La date, le n° de devis ou le client._x000a__x000a_Saisir l'élément à rechercher ou un espace pour supprimer la MFC." sqref="B2:C2" xr:uid="{1E3BE0D0-FB82-4632-92D0-AC2266BD347C}"/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B6A27-1C62-4D0A-B75C-4BA039B76F06}">
  <sheetPr codeName="Feuil1">
    <pageSetUpPr fitToPage="1"/>
  </sheetPr>
  <dimension ref="B1:L53"/>
  <sheetViews>
    <sheetView showGridLines="0" showZeros="0" zoomScale="75" zoomScaleNormal="75" workbookViewId="0">
      <selection activeCell="E7" sqref="E7:G7"/>
    </sheetView>
  </sheetViews>
  <sheetFormatPr baseColWidth="10" defaultColWidth="11" defaultRowHeight="20.100000000000001" customHeight="1" x14ac:dyDescent="0.4"/>
  <cols>
    <col min="1" max="1" width="3.59765625" style="1" customWidth="1"/>
    <col min="2" max="2" width="12.59765625" style="1" customWidth="1"/>
    <col min="3" max="3" width="30.59765625" style="1" customWidth="1"/>
    <col min="4" max="4" width="12.59765625" style="1" customWidth="1"/>
    <col min="5" max="7" width="15.59765625" style="1" customWidth="1"/>
    <col min="8" max="8" width="3.59765625" style="1" customWidth="1"/>
    <col min="9" max="16384" width="11" style="1"/>
  </cols>
  <sheetData>
    <row r="1" spans="2:12" ht="20.100000000000001" customHeight="1" x14ac:dyDescent="0.4">
      <c r="F1" s="2"/>
      <c r="G1" s="2"/>
    </row>
    <row r="2" spans="2:12" ht="20.100000000000001" customHeight="1" x14ac:dyDescent="0.4">
      <c r="E2" s="3" t="s">
        <v>14</v>
      </c>
      <c r="F2" s="4" t="str">
        <f ca="1">LEFT(E2,1)&amp;YEAR(F3)&amp;TEXT(NumDevis,"000")</f>
        <v>D2020001</v>
      </c>
      <c r="G2" s="4"/>
    </row>
    <row r="3" spans="2:12" ht="20.100000000000001" customHeight="1" x14ac:dyDescent="0.4">
      <c r="E3" s="3" t="s">
        <v>53</v>
      </c>
      <c r="F3" s="5">
        <f ca="1">TODAY()</f>
        <v>44109</v>
      </c>
      <c r="G3" s="5"/>
    </row>
    <row r="4" spans="2:12" ht="20.100000000000001" customHeight="1" x14ac:dyDescent="0.4">
      <c r="E4" s="6"/>
      <c r="F4" s="7"/>
      <c r="G4" s="7"/>
    </row>
    <row r="5" spans="2:12" ht="20.100000000000001" customHeight="1" x14ac:dyDescent="0.4">
      <c r="E5" s="208" t="s">
        <v>15</v>
      </c>
      <c r="F5" s="208"/>
      <c r="G5" s="208"/>
    </row>
    <row r="6" spans="2:12" ht="29.4" x14ac:dyDescent="0.4">
      <c r="B6" s="181" t="s">
        <v>49</v>
      </c>
      <c r="C6" s="181"/>
    </row>
    <row r="7" spans="2:12" ht="20.100000000000001" customHeight="1" x14ac:dyDescent="0.4">
      <c r="B7" s="182" t="s">
        <v>50</v>
      </c>
      <c r="C7" s="182"/>
      <c r="E7" s="209"/>
      <c r="F7" s="210"/>
      <c r="G7" s="211"/>
    </row>
    <row r="8" spans="2:12" ht="20.100000000000001" customHeight="1" x14ac:dyDescent="0.4">
      <c r="B8" s="182" t="s">
        <v>55</v>
      </c>
      <c r="C8" s="182"/>
      <c r="E8" s="206" t="str">
        <f>IFERROR(INDEX(T_Clients[Adresse1],MATCH(DevClient,T_Clients[Client],0)),"")</f>
        <v/>
      </c>
      <c r="F8" s="207"/>
      <c r="G8" s="212"/>
    </row>
    <row r="9" spans="2:12" ht="20.100000000000001" customHeight="1" x14ac:dyDescent="0.4">
      <c r="B9" s="182" t="s">
        <v>51</v>
      </c>
      <c r="C9" s="182"/>
      <c r="E9" s="206" t="str">
        <f>IFERROR(INDEX(T_Clients[Adresse2],MATCH(DevClient,T_Clients[Client],0)),"")</f>
        <v/>
      </c>
      <c r="F9" s="207"/>
      <c r="G9" s="212"/>
    </row>
    <row r="10" spans="2:12" ht="20.100000000000001" customHeight="1" x14ac:dyDescent="0.4">
      <c r="B10" s="182" t="s">
        <v>52</v>
      </c>
      <c r="C10" s="182"/>
      <c r="E10" s="206" t="str">
        <f>IFERROR(INDEX(T_Clients[Adresse3],MATCH(DevClient,T_Clients[Client],0)),"")</f>
        <v/>
      </c>
      <c r="F10" s="207"/>
      <c r="G10" s="212"/>
    </row>
    <row r="11" spans="2:12" ht="20.100000000000001" customHeight="1" x14ac:dyDescent="0.4">
      <c r="E11" s="198" t="str">
        <f>IFERROR(INDEX(T_Clients[CP],MATCH(DevClient,T_Clients[Client],0)),"")&amp;" "&amp;IFERROR(INDEX(T_Clients[Ville],MATCH(DevClient,T_Clients[Client],0)),"")</f>
        <v xml:space="preserve"> </v>
      </c>
      <c r="F11" s="199"/>
      <c r="G11" s="200"/>
    </row>
    <row r="12" spans="2:12" ht="20.100000000000001" customHeight="1" x14ac:dyDescent="0.4">
      <c r="K12" s="179" t="s">
        <v>62</v>
      </c>
      <c r="L12" s="180"/>
    </row>
    <row r="13" spans="2:12" ht="20.100000000000001" customHeight="1" x14ac:dyDescent="0.4">
      <c r="B13" s="8" t="s">
        <v>0</v>
      </c>
      <c r="C13" s="9" t="s">
        <v>1</v>
      </c>
      <c r="D13" s="9" t="s">
        <v>2</v>
      </c>
      <c r="E13" s="9" t="s">
        <v>3</v>
      </c>
      <c r="F13" s="9" t="s">
        <v>4</v>
      </c>
      <c r="G13" s="10" t="s">
        <v>24</v>
      </c>
      <c r="K13" s="63" t="s">
        <v>22</v>
      </c>
      <c r="L13" s="64" t="str">
        <f>IF(DevClient="","NOK","OK")</f>
        <v>NOK</v>
      </c>
    </row>
    <row r="14" spans="2:12" ht="20.100000000000001" customHeight="1" x14ac:dyDescent="0.4">
      <c r="B14" s="11" t="str">
        <f>IFERROR(INDEX(T_Produits[Code],MATCH(T_Devis[[#This Row],[Désignation]],T_Produits[Produits],0)),"")</f>
        <v/>
      </c>
      <c r="C14" s="46"/>
      <c r="D14" s="52"/>
      <c r="E14" s="55" t="str">
        <f>IFERROR(INDEX(T_Produits[PU],MATCH(T_Devis[[#This Row],[Désignation]],T_Produits[Produits],0)),"")</f>
        <v/>
      </c>
      <c r="F14" s="12" t="str">
        <f>IF(T_Devis[[#This Row],[Code]]&lt;&gt;"",T_Devis[[#This Row],[Quantité]]*T_Devis[[#This Row],[PU]],"")</f>
        <v/>
      </c>
      <c r="G14" s="49"/>
      <c r="K14" s="59" t="s">
        <v>61</v>
      </c>
      <c r="L14" s="61" t="str">
        <f>IF(COUNTA(T_Devis[Désignation])=0,"NOK","OK")</f>
        <v>NOK</v>
      </c>
    </row>
    <row r="15" spans="2:12" ht="20.100000000000001" customHeight="1" x14ac:dyDescent="0.4">
      <c r="B15" s="13" t="str">
        <f>IFERROR(INDEX(T_Produits[Code],MATCH(T_Devis[[#This Row],[Désignation]],T_Produits[Produits],0)),"")</f>
        <v/>
      </c>
      <c r="C15" s="47"/>
      <c r="D15" s="53"/>
      <c r="E15" s="56" t="str">
        <f>IFERROR(INDEX(T_Produits[PU],MATCH(T_Devis[[#This Row],[Désignation]],T_Produits[Produits],0)),"")</f>
        <v/>
      </c>
      <c r="F15" s="14" t="str">
        <f>IF(T_Devis[[#This Row],[Code]]&lt;&gt;"",T_Devis[[#This Row],[Quantité]]*T_Devis[[#This Row],[PU]],"")</f>
        <v/>
      </c>
      <c r="G15" s="49"/>
      <c r="K15" s="59" t="s">
        <v>2</v>
      </c>
      <c r="L15" s="61" t="str">
        <f>IF(AND(COUNTA(T_Devis[Désignation])&lt;&gt;0,COUNTA(T_Devis[Désignation])=COUNTA(T_Devis[Quantité])),"OK","NOK")</f>
        <v>NOK</v>
      </c>
    </row>
    <row r="16" spans="2:12" ht="20.100000000000001" customHeight="1" x14ac:dyDescent="0.4">
      <c r="B16" s="13" t="str">
        <f>IFERROR(INDEX(T_Produits[Code],MATCH(T_Devis[[#This Row],[Désignation]],T_Produits[Produits],0)),"")</f>
        <v/>
      </c>
      <c r="C16" s="47"/>
      <c r="D16" s="53"/>
      <c r="E16" s="56" t="str">
        <f>IFERROR(INDEX(T_Produits[PU],MATCH(T_Devis[[#This Row],[Désignation]],T_Produits[Produits],0)),"")</f>
        <v/>
      </c>
      <c r="F16" s="14" t="str">
        <f>IF(T_Devis[[#This Row],[Code]]&lt;&gt;"",T_Devis[[#This Row],[Quantité]]*T_Devis[[#This Row],[PU]],"")</f>
        <v/>
      </c>
      <c r="G16" s="49"/>
      <c r="K16" s="59" t="s">
        <v>24</v>
      </c>
      <c r="L16" s="61" t="str">
        <f>IF(AND(COUNTA(T_Devis[Désignation])&lt;&gt;0,COUNTA(T_Devis[Désignation])=COUNTA(T_Devis[TVA])),"OK","NOK")</f>
        <v>NOK</v>
      </c>
    </row>
    <row r="17" spans="2:12" ht="20.100000000000001" customHeight="1" x14ac:dyDescent="0.4">
      <c r="B17" s="13" t="str">
        <f>IFERROR(INDEX(T_Produits[Code],MATCH(T_Devis[[#This Row],[Désignation]],T_Produits[Produits],0)),"")</f>
        <v/>
      </c>
      <c r="C17" s="47"/>
      <c r="D17" s="53"/>
      <c r="E17" s="56" t="str">
        <f>IFERROR(INDEX(T_Produits[PU],MATCH(T_Devis[[#This Row],[Désignation]],T_Produits[Produits],0)),"")</f>
        <v/>
      </c>
      <c r="F17" s="14" t="str">
        <f>IF(T_Devis[[#This Row],[Code]]&lt;&gt;"",T_Devis[[#This Row],[Quantité]]*T_Devis[[#This Row],[PU]],"")</f>
        <v/>
      </c>
      <c r="G17" s="49"/>
      <c r="K17" s="60" t="s">
        <v>28</v>
      </c>
      <c r="L17" s="62" t="str">
        <f>IF(OR(G38=0,G38&lt;&gt;SUM(F32:F33)),"NOK","OK")</f>
        <v>NOK</v>
      </c>
    </row>
    <row r="18" spans="2:12" ht="20.100000000000001" customHeight="1" x14ac:dyDescent="0.4">
      <c r="B18" s="13" t="str">
        <f>IFERROR(INDEX(T_Produits[Code],MATCH(T_Devis[[#This Row],[Désignation]],T_Produits[Produits],0)),"")</f>
        <v/>
      </c>
      <c r="C18" s="47"/>
      <c r="D18" s="53"/>
      <c r="E18" s="56" t="str">
        <f>IFERROR(INDEX(T_Produits[PU],MATCH(T_Devis[[#This Row],[Désignation]],T_Produits[Produits],0)),"")</f>
        <v/>
      </c>
      <c r="F18" s="14" t="str">
        <f>IF(T_Devis[[#This Row],[Code]]&lt;&gt;"",T_Devis[[#This Row],[Quantité]]*T_Devis[[#This Row],[PU]],"")</f>
        <v/>
      </c>
      <c r="G18" s="49"/>
    </row>
    <row r="19" spans="2:12" ht="20.100000000000001" customHeight="1" x14ac:dyDescent="0.4">
      <c r="B19" s="13" t="str">
        <f>IFERROR(INDEX(T_Produits[Code],MATCH(T_Devis[[#This Row],[Désignation]],T_Produits[Produits],0)),"")</f>
        <v/>
      </c>
      <c r="C19" s="47"/>
      <c r="D19" s="53"/>
      <c r="E19" s="56" t="str">
        <f>IFERROR(INDEX(T_Produits[PU],MATCH(T_Devis[[#This Row],[Désignation]],T_Produits[Produits],0)),"")</f>
        <v/>
      </c>
      <c r="F19" s="14" t="str">
        <f>IF(T_Devis[[#This Row],[Code]]&lt;&gt;"",T_Devis[[#This Row],[Quantité]]*T_Devis[[#This Row],[PU]],"")</f>
        <v/>
      </c>
      <c r="G19" s="50"/>
      <c r="K19" s="65" t="s">
        <v>64</v>
      </c>
      <c r="L19" s="66" t="str">
        <f>IF(MAX(T_RecapDevis[vérif numérotation])+1=NumDevis,"OK","NOK")</f>
        <v>OK</v>
      </c>
    </row>
    <row r="20" spans="2:12" ht="20.100000000000001" customHeight="1" x14ac:dyDescent="0.4">
      <c r="B20" s="13" t="str">
        <f>IFERROR(INDEX(T_Produits[Code],MATCH(T_Devis[[#This Row],[Désignation]],T_Produits[Produits],0)),"")</f>
        <v/>
      </c>
      <c r="C20" s="47"/>
      <c r="D20" s="53"/>
      <c r="E20" s="56" t="str">
        <f>IFERROR(INDEX(T_Produits[PU],MATCH(T_Devis[[#This Row],[Désignation]],T_Produits[Produits],0)),"")</f>
        <v/>
      </c>
      <c r="F20" s="14" t="str">
        <f>IF(T_Devis[[#This Row],[Code]]&lt;&gt;"",T_Devis[[#This Row],[Quantité]]*T_Devis[[#This Row],[PU]],"")</f>
        <v/>
      </c>
      <c r="G20" s="50"/>
      <c r="K20" s="67" t="str">
        <f>IF(L19="OK","","Attention le numéro du prochain devis ne correspond pas à la suite logique du Récap devis")</f>
        <v/>
      </c>
    </row>
    <row r="21" spans="2:12" ht="20.100000000000001" customHeight="1" x14ac:dyDescent="0.4">
      <c r="B21" s="13" t="str">
        <f>IFERROR(INDEX(T_Produits[Code],MATCH(T_Devis[[#This Row],[Désignation]],T_Produits[Produits],0)),"")</f>
        <v/>
      </c>
      <c r="C21" s="47"/>
      <c r="D21" s="53"/>
      <c r="E21" s="56" t="str">
        <f>IFERROR(INDEX(T_Produits[PU],MATCH(T_Devis[[#This Row],[Désignation]],T_Produits[Produits],0)),"")</f>
        <v/>
      </c>
      <c r="F21" s="14" t="str">
        <f>IF(T_Devis[[#This Row],[Code]]&lt;&gt;"",T_Devis[[#This Row],[Quantité]]*T_Devis[[#This Row],[PU]],"")</f>
        <v/>
      </c>
      <c r="G21" s="50"/>
    </row>
    <row r="22" spans="2:12" ht="20.100000000000001" customHeight="1" x14ac:dyDescent="0.4">
      <c r="B22" s="13" t="str">
        <f>IFERROR(INDEX(T_Produits[Code],MATCH(T_Devis[[#This Row],[Désignation]],T_Produits[Produits],0)),"")</f>
        <v/>
      </c>
      <c r="C22" s="47"/>
      <c r="D22" s="53"/>
      <c r="E22" s="56" t="str">
        <f>IFERROR(INDEX(T_Produits[PU],MATCH(T_Devis[[#This Row],[Désignation]],T_Produits[Produits],0)),"")</f>
        <v/>
      </c>
      <c r="F22" s="14" t="str">
        <f>IF(T_Devis[[#This Row],[Code]]&lt;&gt;"",T_Devis[[#This Row],[Quantité]]*T_Devis[[#This Row],[PU]],"")</f>
        <v/>
      </c>
      <c r="G22" s="50"/>
    </row>
    <row r="23" spans="2:12" ht="20.100000000000001" customHeight="1" x14ac:dyDescent="0.4">
      <c r="B23" s="13" t="str">
        <f>IFERROR(INDEX(T_Produits[Code],MATCH(T_Devis[[#This Row],[Désignation]],T_Produits[Produits],0)),"")</f>
        <v/>
      </c>
      <c r="C23" s="47"/>
      <c r="D23" s="53"/>
      <c r="E23" s="56" t="str">
        <f>IFERROR(INDEX(T_Produits[PU],MATCH(T_Devis[[#This Row],[Désignation]],T_Produits[Produits],0)),"")</f>
        <v/>
      </c>
      <c r="F23" s="14" t="str">
        <f>IF(T_Devis[[#This Row],[Code]]&lt;&gt;"",T_Devis[[#This Row],[Quantité]]*T_Devis[[#This Row],[PU]],"")</f>
        <v/>
      </c>
      <c r="G23" s="50"/>
    </row>
    <row r="24" spans="2:12" ht="20.100000000000001" customHeight="1" x14ac:dyDescent="0.4">
      <c r="B24" s="13" t="str">
        <f>IFERROR(INDEX(T_Produits[Code],MATCH(T_Devis[[#This Row],[Désignation]],T_Produits[Produits],0)),"")</f>
        <v/>
      </c>
      <c r="C24" s="47"/>
      <c r="D24" s="53"/>
      <c r="E24" s="56" t="str">
        <f>IFERROR(INDEX(T_Produits[PU],MATCH(T_Devis[[#This Row],[Désignation]],T_Produits[Produits],0)),"")</f>
        <v/>
      </c>
      <c r="F24" s="14" t="str">
        <f>IF(T_Devis[[#This Row],[Code]]&lt;&gt;"",T_Devis[[#This Row],[Quantité]]*T_Devis[[#This Row],[PU]],"")</f>
        <v/>
      </c>
      <c r="G24" s="50"/>
    </row>
    <row r="25" spans="2:12" ht="20.100000000000001" customHeight="1" x14ac:dyDescent="0.4">
      <c r="B25" s="13" t="str">
        <f>IFERROR(INDEX(T_Produits[Code],MATCH(T_Devis[[#This Row],[Désignation]],T_Produits[Produits],0)),"")</f>
        <v/>
      </c>
      <c r="C25" s="47"/>
      <c r="D25" s="53"/>
      <c r="E25" s="56" t="str">
        <f>IFERROR(INDEX(T_Produits[PU],MATCH(T_Devis[[#This Row],[Désignation]],T_Produits[Produits],0)),"")</f>
        <v/>
      </c>
      <c r="F25" s="14" t="str">
        <f>IF(T_Devis[[#This Row],[Code]]&lt;&gt;"",T_Devis[[#This Row],[Quantité]]*T_Devis[[#This Row],[PU]],"")</f>
        <v/>
      </c>
      <c r="G25" s="50"/>
    </row>
    <row r="26" spans="2:12" ht="20.100000000000001" customHeight="1" x14ac:dyDescent="0.4">
      <c r="B26" s="13" t="str">
        <f>IFERROR(INDEX(T_Produits[Code],MATCH(T_Devis[[#This Row],[Désignation]],T_Produits[Produits],0)),"")</f>
        <v/>
      </c>
      <c r="C26" s="47"/>
      <c r="D26" s="53"/>
      <c r="E26" s="56" t="str">
        <f>IFERROR(INDEX(T_Produits[PU],MATCH(T_Devis[[#This Row],[Désignation]],T_Produits[Produits],0)),"")</f>
        <v/>
      </c>
      <c r="F26" s="14" t="str">
        <f>IF(T_Devis[[#This Row],[Code]]&lt;&gt;"",T_Devis[[#This Row],[Quantité]]*T_Devis[[#This Row],[PU]],"")</f>
        <v/>
      </c>
      <c r="G26" s="50"/>
    </row>
    <row r="27" spans="2:12" ht="20.100000000000001" customHeight="1" x14ac:dyDescent="0.4">
      <c r="B27" s="13" t="str">
        <f>IFERROR(INDEX(T_Produits[Code],MATCH(T_Devis[[#This Row],[Désignation]],T_Produits[Produits],0)),"")</f>
        <v/>
      </c>
      <c r="C27" s="47"/>
      <c r="D27" s="53"/>
      <c r="E27" s="56" t="str">
        <f>IFERROR(INDEX(T_Produits[PU],MATCH(T_Devis[[#This Row],[Désignation]],T_Produits[Produits],0)),"")</f>
        <v/>
      </c>
      <c r="F27" s="14" t="str">
        <f>IF(T_Devis[[#This Row],[Code]]&lt;&gt;"",T_Devis[[#This Row],[Quantité]]*T_Devis[[#This Row],[PU]],"")</f>
        <v/>
      </c>
      <c r="G27" s="50"/>
    </row>
    <row r="28" spans="2:12" ht="20.100000000000001" customHeight="1" x14ac:dyDescent="0.4">
      <c r="B28" s="13" t="str">
        <f>IFERROR(INDEX(T_Produits[Code],MATCH(T_Devis[[#This Row],[Désignation]],T_Produits[Produits],0)),"")</f>
        <v/>
      </c>
      <c r="C28" s="47"/>
      <c r="D28" s="53"/>
      <c r="E28" s="56" t="str">
        <f>IFERROR(INDEX(T_Produits[PU],MATCH(T_Devis[[#This Row],[Désignation]],T_Produits[Produits],0)),"")</f>
        <v/>
      </c>
      <c r="F28" s="14" t="str">
        <f>IF(T_Devis[[#This Row],[Code]]&lt;&gt;"",T_Devis[[#This Row],[Quantité]]*T_Devis[[#This Row],[PU]],"")</f>
        <v/>
      </c>
      <c r="G28" s="50"/>
    </row>
    <row r="29" spans="2:12" ht="20.100000000000001" customHeight="1" x14ac:dyDescent="0.4">
      <c r="B29" s="15" t="str">
        <f>IFERROR(INDEX(T_Produits[Code],MATCH(T_Devis[[#This Row],[Désignation]],T_Produits[Produits],0)),"")</f>
        <v/>
      </c>
      <c r="C29" s="48"/>
      <c r="D29" s="54"/>
      <c r="E29" s="57" t="str">
        <f>IFERROR(INDEX(T_Produits[PU],MATCH(T_Devis[[#This Row],[Désignation]],T_Produits[Produits],0)),"")</f>
        <v/>
      </c>
      <c r="F29" s="16" t="str">
        <f>IF(T_Devis[[#This Row],[Code]]&lt;&gt;"",T_Devis[[#This Row],[Quantité]]*T_Devis[[#This Row],[PU]],"")</f>
        <v/>
      </c>
      <c r="G29" s="51"/>
    </row>
    <row r="31" spans="2:12" ht="20.100000000000001" customHeight="1" x14ac:dyDescent="0.4">
      <c r="C31" s="30" t="s">
        <v>28</v>
      </c>
      <c r="D31" s="31" t="s">
        <v>29</v>
      </c>
      <c r="E31" s="31" t="s">
        <v>24</v>
      </c>
      <c r="F31" s="32" t="s">
        <v>30</v>
      </c>
    </row>
    <row r="32" spans="2:12" ht="20.100000000000001" customHeight="1" x14ac:dyDescent="0.4">
      <c r="C32" s="29">
        <f>IF(F36&lt;&gt;"",F36,"")</f>
        <v>0</v>
      </c>
      <c r="D32" s="155">
        <f>IF(C32&lt;&gt;"",SUMIF(T_Devis[TVA],C32,T_Devis[Total]),"")</f>
        <v>0</v>
      </c>
      <c r="E32" s="155" t="str">
        <f>IFERROR(IF(C32&lt;&gt;"",D32*RIGHT(C32,LEN(C32)-4),""),"")</f>
        <v/>
      </c>
      <c r="F32" s="156" t="str">
        <f>IFERROR(D32+E32,"")</f>
        <v/>
      </c>
    </row>
    <row r="33" spans="2:7" ht="20.100000000000001" customHeight="1" x14ac:dyDescent="0.4">
      <c r="C33" s="28" t="str">
        <f>IF(F37&lt;&gt;"",F37,"")</f>
        <v/>
      </c>
      <c r="D33" s="155" t="str">
        <f>IF(C33&lt;&gt;"",SUMIF(T_Devis[TVA],C33,T_Devis[Total]),"")</f>
        <v/>
      </c>
      <c r="E33" s="155" t="str">
        <f>IFERROR(IF(C33&lt;&gt;"",D33*RIGHT(C33,LEN(C33)-4),""),"")</f>
        <v/>
      </c>
      <c r="F33" s="157" t="str">
        <f>IFERROR(D33+E33,"")</f>
        <v/>
      </c>
    </row>
    <row r="34" spans="2:7" ht="9.9" customHeight="1" x14ac:dyDescent="0.4"/>
    <row r="35" spans="2:7" ht="20.100000000000001" customHeight="1" x14ac:dyDescent="0.4">
      <c r="B35" s="201" t="s">
        <v>8</v>
      </c>
      <c r="C35" s="201"/>
      <c r="D35" s="201"/>
      <c r="F35" s="17" t="s">
        <v>5</v>
      </c>
      <c r="G35" s="158">
        <f>SUM(T_Devis[Total])</f>
        <v>0</v>
      </c>
    </row>
    <row r="36" spans="2:7" ht="20.100000000000001" customHeight="1" x14ac:dyDescent="0.4">
      <c r="B36" s="184" t="str">
        <f>"Acompte de 30% à la commande soit : "&amp;TEXT(G38*30%,"# ##0,00€")</f>
        <v>Acompte de 30% à la commande soit : 0,00€</v>
      </c>
      <c r="C36" s="184"/>
      <c r="D36" s="184"/>
      <c r="F36" s="58">
        <f t="array" ref="F36">IFERROR(INDEX(T_Devis[TVA],MATCH(0,COUNTIF($F$35:F35,T_Devis[TVA]),0)),"")</f>
        <v>0</v>
      </c>
      <c r="G36" s="159" t="str">
        <f>IF(E32&lt;&gt;0,E32,0)</f>
        <v/>
      </c>
    </row>
    <row r="37" spans="2:7" ht="20.100000000000001" customHeight="1" x14ac:dyDescent="0.4">
      <c r="B37" s="184" t="s">
        <v>13</v>
      </c>
      <c r="C37" s="184"/>
      <c r="D37" s="184"/>
      <c r="F37" s="58" t="str">
        <f t="array" ref="F37">IFERROR(INDEX(T_Devis[TVA],MATCH(0,COUNTIF($F$35:F36,T_Devis[TVA]),0)),"")</f>
        <v/>
      </c>
      <c r="G37" s="159" t="str">
        <f>IF(E33&lt;&gt;0,E33,0)</f>
        <v/>
      </c>
    </row>
    <row r="38" spans="2:7" ht="20.100000000000001" customHeight="1" x14ac:dyDescent="0.4">
      <c r="B38" s="184" t="str">
        <f>"Paiement comptant à la réception du chantier soit : "&amp;TEXT(G38*70%,"# ##0,00€")</f>
        <v>Paiement comptant à la réception du chantier soit : 0,00€</v>
      </c>
      <c r="C38" s="184"/>
      <c r="D38" s="184"/>
      <c r="F38" s="18" t="s">
        <v>7</v>
      </c>
      <c r="G38" s="160">
        <f>SUM(G35:G37)</f>
        <v>0</v>
      </c>
    </row>
    <row r="39" spans="2:7" ht="9.9" customHeight="1" x14ac:dyDescent="0.4">
      <c r="E39" s="19"/>
      <c r="F39" s="191"/>
      <c r="G39" s="191"/>
    </row>
    <row r="40" spans="2:7" ht="9.9" customHeight="1" x14ac:dyDescent="0.4">
      <c r="B40" s="20"/>
      <c r="C40" s="20"/>
      <c r="D40" s="21"/>
      <c r="E40" s="19"/>
    </row>
    <row r="41" spans="2:7" ht="36" customHeight="1" x14ac:dyDescent="0.4">
      <c r="B41" s="202" t="s">
        <v>20</v>
      </c>
      <c r="C41" s="202"/>
      <c r="D41" s="202"/>
      <c r="E41" s="202"/>
      <c r="F41" s="202"/>
      <c r="G41" s="202"/>
    </row>
    <row r="42" spans="2:7" ht="9.9" customHeight="1" x14ac:dyDescent="0.4">
      <c r="B42" s="20"/>
      <c r="C42" s="20"/>
      <c r="D42" s="21"/>
      <c r="E42" s="19"/>
    </row>
    <row r="43" spans="2:7" ht="20.100000000000001" customHeight="1" x14ac:dyDescent="0.4">
      <c r="B43" s="192" t="s">
        <v>16</v>
      </c>
      <c r="C43" s="193"/>
      <c r="D43" s="21"/>
      <c r="E43" s="203" t="s">
        <v>17</v>
      </c>
      <c r="F43" s="204"/>
      <c r="G43" s="205"/>
    </row>
    <row r="44" spans="2:7" ht="20.100000000000001" customHeight="1" x14ac:dyDescent="0.4">
      <c r="B44" s="194"/>
      <c r="C44" s="195"/>
      <c r="D44" s="21"/>
      <c r="E44" s="206" t="s">
        <v>65</v>
      </c>
      <c r="F44" s="207"/>
      <c r="G44" s="22" t="s">
        <v>19</v>
      </c>
    </row>
    <row r="45" spans="2:7" ht="20.100000000000001" customHeight="1" x14ac:dyDescent="0.4">
      <c r="B45" s="194"/>
      <c r="C45" s="195"/>
      <c r="D45" s="21"/>
      <c r="E45" s="185"/>
      <c r="F45" s="186"/>
      <c r="G45" s="187"/>
    </row>
    <row r="46" spans="2:7" ht="20.100000000000001" customHeight="1" x14ac:dyDescent="0.4">
      <c r="B46" s="194"/>
      <c r="C46" s="195"/>
      <c r="D46" s="21"/>
      <c r="E46" s="185"/>
      <c r="F46" s="186"/>
      <c r="G46" s="187"/>
    </row>
    <row r="47" spans="2:7" ht="20.100000000000001" customHeight="1" x14ac:dyDescent="0.4">
      <c r="B47" s="194"/>
      <c r="C47" s="195"/>
      <c r="D47" s="21"/>
      <c r="E47" s="185"/>
      <c r="F47" s="186"/>
      <c r="G47" s="187"/>
    </row>
    <row r="48" spans="2:7" ht="20.100000000000001" customHeight="1" x14ac:dyDescent="0.4">
      <c r="B48" s="194"/>
      <c r="C48" s="195"/>
      <c r="E48" s="185"/>
      <c r="F48" s="186"/>
      <c r="G48" s="187"/>
    </row>
    <row r="49" spans="2:7" ht="20.100000000000001" customHeight="1" x14ac:dyDescent="0.4">
      <c r="B49" s="196"/>
      <c r="C49" s="197"/>
      <c r="D49" s="23"/>
      <c r="E49" s="188"/>
      <c r="F49" s="189"/>
      <c r="G49" s="190"/>
    </row>
    <row r="51" spans="2:7" ht="15" customHeight="1" x14ac:dyDescent="0.4">
      <c r="B51" s="183" t="s">
        <v>10</v>
      </c>
      <c r="C51" s="183"/>
      <c r="D51" s="183"/>
      <c r="E51" s="183"/>
      <c r="F51" s="183"/>
      <c r="G51" s="183"/>
    </row>
    <row r="52" spans="2:7" ht="15" customHeight="1" x14ac:dyDescent="0.4">
      <c r="B52" s="183" t="s">
        <v>11</v>
      </c>
      <c r="C52" s="183"/>
      <c r="D52" s="183"/>
      <c r="E52" s="183"/>
      <c r="F52" s="183"/>
      <c r="G52" s="183"/>
    </row>
    <row r="53" spans="2:7" ht="15" customHeight="1" x14ac:dyDescent="0.4">
      <c r="B53" s="183" t="s">
        <v>12</v>
      </c>
      <c r="C53" s="183"/>
      <c r="D53" s="183"/>
      <c r="E53" s="183"/>
      <c r="F53" s="183"/>
      <c r="G53" s="183"/>
    </row>
  </sheetData>
  <sheetProtection sheet="1" objects="1" scenarios="1" selectLockedCells="1"/>
  <mergeCells count="25">
    <mergeCell ref="E5:G5"/>
    <mergeCell ref="E7:G7"/>
    <mergeCell ref="E8:G8"/>
    <mergeCell ref="E9:G9"/>
    <mergeCell ref="E10:G10"/>
    <mergeCell ref="B52:G52"/>
    <mergeCell ref="B53:G53"/>
    <mergeCell ref="B10:C10"/>
    <mergeCell ref="B37:D37"/>
    <mergeCell ref="B38:D38"/>
    <mergeCell ref="E45:G49"/>
    <mergeCell ref="F39:G39"/>
    <mergeCell ref="B36:D36"/>
    <mergeCell ref="B43:C49"/>
    <mergeCell ref="B51:G51"/>
    <mergeCell ref="E11:G11"/>
    <mergeCell ref="B35:D35"/>
    <mergeCell ref="B41:G41"/>
    <mergeCell ref="E43:G43"/>
    <mergeCell ref="E44:F44"/>
    <mergeCell ref="K12:L12"/>
    <mergeCell ref="B6:C6"/>
    <mergeCell ref="B7:C7"/>
    <mergeCell ref="B8:C8"/>
    <mergeCell ref="B9:C9"/>
  </mergeCells>
  <conditionalFormatting sqref="L13:L17 L19">
    <cfRule type="expression" dxfId="80" priority="1">
      <formula>L13="NOK"</formula>
    </cfRule>
    <cfRule type="expression" dxfId="79" priority="2">
      <formula>L13="OK"</formula>
    </cfRule>
  </conditionalFormatting>
  <dataValidations count="3">
    <dataValidation type="list" allowBlank="1" showInputMessage="1" showErrorMessage="1" sqref="G14:G29" xr:uid="{90D60DF0-ECC4-4B2E-A739-F484E099E9F1}">
      <formula1>L_TVA</formula1>
    </dataValidation>
    <dataValidation type="list" allowBlank="1" showInputMessage="1" showErrorMessage="1" sqref="C14:C29" xr:uid="{CF98FFCA-FE79-4F51-A47C-58AA671B0F5C}">
      <formula1>L_Produits</formula1>
    </dataValidation>
    <dataValidation type="list" allowBlank="1" showInputMessage="1" showErrorMessage="1" sqref="E7:G7" xr:uid="{2B5E7AD7-D912-4752-9823-BAB6D4497C14}">
      <formula1>L_Clients</formula1>
    </dataValidation>
  </dataValidations>
  <printOptions horizontalCentered="1" verticalCentered="1"/>
  <pageMargins left="0" right="0" top="0" bottom="0" header="0" footer="0"/>
  <pageSetup paperSize="9" scale="80" orientation="portrait" horizontalDpi="4294967293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59D2-11AD-4E73-90B7-8E28AD089BA1}">
  <sheetPr codeName="Feuil2"/>
  <dimension ref="A2:O7"/>
  <sheetViews>
    <sheetView showGridLines="0" workbookViewId="0">
      <selection activeCell="C2" sqref="C2"/>
    </sheetView>
  </sheetViews>
  <sheetFormatPr baseColWidth="10" defaultRowHeight="16.8" outlineLevelRow="1" outlineLevelCol="1" x14ac:dyDescent="0.4"/>
  <cols>
    <col min="3" max="3" width="27.09765625" bestFit="1" customWidth="1"/>
    <col min="4" max="4" width="24.3984375" style="24" customWidth="1"/>
    <col min="6" max="6" width="13.3984375" customWidth="1"/>
    <col min="8" max="8" width="11.8984375" customWidth="1"/>
    <col min="9" max="9" width="15.8984375" bestFit="1" customWidth="1"/>
    <col min="10" max="10" width="14.69921875" bestFit="1" customWidth="1"/>
    <col min="11" max="11" width="14.69921875" customWidth="1"/>
    <col min="12" max="12" width="17.8984375" customWidth="1" outlineLevel="1"/>
    <col min="13" max="13" width="13.69921875" customWidth="1" outlineLevel="1"/>
    <col min="14" max="14" width="3.59765625" customWidth="1" outlineLevel="1"/>
    <col min="15" max="19" width="10.59765625" customWidth="1"/>
  </cols>
  <sheetData>
    <row r="2" spans="1:15" s="82" customFormat="1" ht="15.9" customHeight="1" x14ac:dyDescent="0.4">
      <c r="C2" s="87" t="s">
        <v>77</v>
      </c>
      <c r="D2" s="213" t="s">
        <v>78</v>
      </c>
      <c r="E2" s="178"/>
      <c r="I2" s="84" t="str">
        <f t="array" aca="1" ref="I2" ca="1">IFERROR(HYPERLINK("#"&amp;ADDRESS(INDIRECT(ADDRESS(4,MATCH(1,(A4:L4&gt;0)*1,0))),MATCH(1,(A4:L4&gt;0)*1,0)),"Chercher devis"),"Chercher devis")</f>
        <v>Chercher devis</v>
      </c>
      <c r="K2" s="85"/>
    </row>
    <row r="4" spans="1:15" hidden="1" outlineLevel="1" x14ac:dyDescent="0.4">
      <c r="A4" s="83" t="e">
        <f>MATCH($D$2,T_RecapDevis[Date],0)+6</f>
        <v>#N/A</v>
      </c>
      <c r="B4" s="83" t="e">
        <f>MATCH($D$2,T_RecapDevis[N° Devis],0)+6</f>
        <v>#N/A</v>
      </c>
      <c r="C4" s="83" t="e">
        <f>MATCH($D$2,T_RecapDevis[Client],0)+6</f>
        <v>#N/A</v>
      </c>
      <c r="D4" s="83" t="e">
        <f>MATCH($D$2,T_RecapDevis[Désignation],0)+6</f>
        <v>#N/A</v>
      </c>
      <c r="E4" s="83" t="e">
        <f>MATCH($D$2,T_RecapDevis[Quantité],0)+6</f>
        <v>#N/A</v>
      </c>
      <c r="F4" s="83" t="e">
        <f>MATCH($D$2,T_RecapDevis[Prix unitaire],0)+6</f>
        <v>#N/A</v>
      </c>
      <c r="G4" s="83" t="e">
        <f>MATCH($D$2,T_RecapDevis[Total],0)+6</f>
        <v>#N/A</v>
      </c>
      <c r="H4" s="83" t="e">
        <f>MATCH($D$2,T_RecapDevis[TVA],0)+6</f>
        <v>#N/A</v>
      </c>
      <c r="I4" s="83" t="e">
        <f>MATCH($D$2,T_RecapDevis[Acompte versé],0)+6</f>
        <v>#N/A</v>
      </c>
      <c r="J4" s="83" t="e">
        <f>MATCH($D$2,T_RecapDevis[Date règlement],0)+6</f>
        <v>#N/A</v>
      </c>
      <c r="K4" s="83" t="e">
        <f>MATCH($D$2,T_RecapDevis[Mode règlement],0)+6</f>
        <v>#N/A</v>
      </c>
    </row>
    <row r="5" spans="1:15" collapsed="1" x14ac:dyDescent="0.4"/>
    <row r="6" spans="1:15" x14ac:dyDescent="0.4">
      <c r="A6" s="25" t="s">
        <v>21</v>
      </c>
      <c r="B6" s="25" t="s">
        <v>25</v>
      </c>
      <c r="C6" s="25" t="s">
        <v>22</v>
      </c>
      <c r="D6" s="25" t="s">
        <v>1</v>
      </c>
      <c r="E6" s="25" t="s">
        <v>2</v>
      </c>
      <c r="F6" s="25" t="s">
        <v>23</v>
      </c>
      <c r="G6" s="25" t="s">
        <v>4</v>
      </c>
      <c r="H6" s="25" t="s">
        <v>24</v>
      </c>
      <c r="I6" s="25" t="s">
        <v>31</v>
      </c>
      <c r="J6" s="69" t="s">
        <v>66</v>
      </c>
      <c r="K6" s="25" t="s">
        <v>67</v>
      </c>
      <c r="L6" s="25" t="s">
        <v>63</v>
      </c>
      <c r="M6" s="25" t="s">
        <v>72</v>
      </c>
      <c r="O6" s="25"/>
    </row>
    <row r="7" spans="1:15" x14ac:dyDescent="0.4">
      <c r="A7" s="44"/>
      <c r="B7" s="24"/>
      <c r="E7" s="24"/>
      <c r="F7" s="45"/>
      <c r="G7" s="45"/>
      <c r="H7" s="24"/>
      <c r="I7" s="73"/>
      <c r="J7" s="44"/>
      <c r="K7" s="24"/>
      <c r="L7" s="24"/>
      <c r="M7" s="24"/>
    </row>
  </sheetData>
  <sortState xmlns:xlrd2="http://schemas.microsoft.com/office/spreadsheetml/2017/richdata2" ref="O7:O23">
    <sortCondition ref="O7"/>
  </sortState>
  <mergeCells count="1">
    <mergeCell ref="D2:E2"/>
  </mergeCells>
  <conditionalFormatting sqref="A7:K7">
    <cfRule type="expression" dxfId="67" priority="1">
      <formula>OR($A7=$D$2,$B7=$D$2,$C7=$D$2)</formula>
    </cfRule>
  </conditionalFormatting>
  <dataValidations disablePrompts="1" count="2">
    <dataValidation type="list" allowBlank="1" showInputMessage="1" showErrorMessage="1" sqref="K7" xr:uid="{7978AFD3-6B60-4051-AF73-DDA3B6AA07AE}">
      <formula1>L_Reglement</formula1>
    </dataValidation>
    <dataValidation allowBlank="1" showInputMessage="1" showErrorMessage="1" promptTitle="Recherche sur :" prompt="La date, le n° de devis ou le client._x000a__x000a_Saisir l'élément à rechercher ou un espace pour supprimer la MFC." sqref="D2:E2" xr:uid="{32D85D6B-E639-47AD-8C40-770118C689DF}"/>
  </dataValidation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EAED6-BA96-4021-B766-C911677FD653}">
  <sheetPr codeName="Feuil3">
    <pageSetUpPr fitToPage="1"/>
  </sheetPr>
  <dimension ref="B1:L53"/>
  <sheetViews>
    <sheetView showGridLines="0" showZeros="0" zoomScale="69" zoomScaleNormal="69" workbookViewId="0">
      <selection activeCell="E7" sqref="E7:G7"/>
    </sheetView>
  </sheetViews>
  <sheetFormatPr baseColWidth="10" defaultColWidth="11" defaultRowHeight="20.100000000000001" customHeight="1" x14ac:dyDescent="0.4"/>
  <cols>
    <col min="1" max="1" width="3.59765625" style="1" customWidth="1"/>
    <col min="2" max="2" width="12.59765625" style="1" customWidth="1"/>
    <col min="3" max="3" width="30.59765625" style="1" customWidth="1"/>
    <col min="4" max="4" width="12.59765625" style="1" customWidth="1"/>
    <col min="5" max="7" width="15.59765625" style="1" customWidth="1"/>
    <col min="8" max="8" width="3.59765625" style="1" customWidth="1"/>
    <col min="9" max="16384" width="11" style="1"/>
  </cols>
  <sheetData>
    <row r="1" spans="2:12" ht="20.100000000000001" customHeight="1" x14ac:dyDescent="0.4">
      <c r="F1" s="2"/>
      <c r="G1" s="2"/>
    </row>
    <row r="2" spans="2:12" ht="20.100000000000001" customHeight="1" x14ac:dyDescent="0.4">
      <c r="E2" s="3" t="s">
        <v>9</v>
      </c>
      <c r="F2" s="4" t="str">
        <f ca="1">LEFT(E2,1)&amp;YEAR(FacDate)&amp;TEXT(NumFac,"000")</f>
        <v>F2020001</v>
      </c>
      <c r="G2" s="4"/>
    </row>
    <row r="3" spans="2:12" ht="20.100000000000001" customHeight="1" x14ac:dyDescent="0.4">
      <c r="E3" s="3" t="s">
        <v>53</v>
      </c>
      <c r="F3" s="5">
        <f ca="1">TODAY()</f>
        <v>44109</v>
      </c>
      <c r="G3" s="5"/>
    </row>
    <row r="4" spans="2:12" ht="20.100000000000001" customHeight="1" x14ac:dyDescent="0.4">
      <c r="E4" s="34"/>
      <c r="F4" s="33"/>
      <c r="G4" s="33"/>
    </row>
    <row r="5" spans="2:12" ht="20.100000000000001" customHeight="1" x14ac:dyDescent="0.4">
      <c r="E5" s="40"/>
      <c r="F5" s="39"/>
      <c r="G5" s="39"/>
    </row>
    <row r="6" spans="2:12" ht="29.4" x14ac:dyDescent="0.4">
      <c r="B6" s="181" t="s">
        <v>49</v>
      </c>
      <c r="C6" s="181"/>
      <c r="E6" s="20"/>
      <c r="F6" s="20"/>
      <c r="G6" s="20"/>
    </row>
    <row r="7" spans="2:12" ht="20.100000000000001" customHeight="1" x14ac:dyDescent="0.4">
      <c r="B7" s="182" t="s">
        <v>54</v>
      </c>
      <c r="C7" s="182"/>
      <c r="E7" s="209"/>
      <c r="F7" s="210"/>
      <c r="G7" s="211"/>
    </row>
    <row r="8" spans="2:12" ht="20.100000000000001" customHeight="1" x14ac:dyDescent="0.4">
      <c r="B8" s="182" t="s">
        <v>56</v>
      </c>
      <c r="C8" s="182"/>
      <c r="E8" s="206" t="str">
        <f>IFERROR(INDEX(T_Clients[Adresse1],MATCH(E7,T_Clients[Client],0)),"")</f>
        <v/>
      </c>
      <c r="F8" s="207"/>
      <c r="G8" s="212"/>
    </row>
    <row r="9" spans="2:12" ht="20.100000000000001" customHeight="1" x14ac:dyDescent="0.4">
      <c r="B9" s="182" t="s">
        <v>51</v>
      </c>
      <c r="C9" s="182"/>
      <c r="E9" s="206" t="str">
        <f>IFERROR(INDEX(T_Clients[Adresse2],MATCH(E7,T_Clients[Client],0)),"")</f>
        <v/>
      </c>
      <c r="F9" s="207"/>
      <c r="G9" s="212"/>
    </row>
    <row r="10" spans="2:12" ht="20.100000000000001" customHeight="1" x14ac:dyDescent="0.4">
      <c r="B10" s="182" t="s">
        <v>52</v>
      </c>
      <c r="C10" s="182"/>
      <c r="E10" s="206" t="str">
        <f>IFERROR(INDEX(T_Clients[Adresse3],MATCH(E7,T_Clients[Client],0)),"")</f>
        <v/>
      </c>
      <c r="F10" s="207"/>
      <c r="G10" s="212"/>
    </row>
    <row r="11" spans="2:12" ht="20.100000000000001" customHeight="1" x14ac:dyDescent="0.4">
      <c r="E11" s="198" t="str">
        <f>IFERROR(INDEX(T_Clients[CP],MATCH(E7,T_Clients[Client],0))&amp;" "&amp;INDEX(T_Clients[Ville],MATCH(E7,T_Clients[Client],0)),"")</f>
        <v/>
      </c>
      <c r="F11" s="199"/>
      <c r="G11" s="200"/>
    </row>
    <row r="12" spans="2:12" ht="20.100000000000001" customHeight="1" x14ac:dyDescent="0.4">
      <c r="K12" s="179" t="s">
        <v>62</v>
      </c>
      <c r="L12" s="180"/>
    </row>
    <row r="13" spans="2:12" ht="20.100000000000001" customHeight="1" x14ac:dyDescent="0.4">
      <c r="B13" s="8" t="s">
        <v>0</v>
      </c>
      <c r="C13" s="9" t="s">
        <v>1</v>
      </c>
      <c r="D13" s="9" t="s">
        <v>2</v>
      </c>
      <c r="E13" s="9" t="s">
        <v>3</v>
      </c>
      <c r="F13" s="9" t="s">
        <v>4</v>
      </c>
      <c r="G13" s="10" t="s">
        <v>24</v>
      </c>
      <c r="K13" s="63" t="s">
        <v>22</v>
      </c>
      <c r="L13" s="64" t="str">
        <f>IF(FacClient="","NOK","OK")</f>
        <v>NOK</v>
      </c>
    </row>
    <row r="14" spans="2:12" ht="20.100000000000001" customHeight="1" x14ac:dyDescent="0.4">
      <c r="B14" s="11" t="str">
        <f>IFERROR(INDEX(T_Produits[Code],MATCH(T_Facture[[#This Row],[Désignation]],T_Produits[Produits],0)),"")</f>
        <v/>
      </c>
      <c r="C14" s="46"/>
      <c r="D14" s="52"/>
      <c r="E14" s="12" t="str">
        <f>IFERROR(INDEX(T_Produits[PU],MATCH(T_Facture[[#This Row],[Désignation]],T_Produits[Produits],0)),"")</f>
        <v/>
      </c>
      <c r="F14" s="12" t="str">
        <f>IF(T_Facture[[#This Row],[Code]]&lt;&gt;"",T_Facture[[#This Row],[Quantité]]*T_Facture[[#This Row],[PU]],"")</f>
        <v/>
      </c>
      <c r="G14" s="49"/>
      <c r="K14" s="59" t="s">
        <v>61</v>
      </c>
      <c r="L14" s="61" t="str">
        <f>IF(COUNTA(T_Facture[Désignation])=0,"NOK","OK")</f>
        <v>NOK</v>
      </c>
    </row>
    <row r="15" spans="2:12" ht="20.100000000000001" customHeight="1" x14ac:dyDescent="0.4">
      <c r="B15" s="13" t="str">
        <f>IFERROR(INDEX(T_Produits[Code],MATCH(T_Facture[[#This Row],[Désignation]],T_Produits[Produits],0)),"")</f>
        <v/>
      </c>
      <c r="C15" s="47"/>
      <c r="D15" s="53"/>
      <c r="E15" s="14" t="str">
        <f>IFERROR(INDEX(T_Produits[PU],MATCH(T_Facture[[#This Row],[Désignation]],T_Produits[Produits],0)),"")</f>
        <v/>
      </c>
      <c r="F15" s="14" t="str">
        <f>IF(T_Facture[[#This Row],[Code]]&lt;&gt;"",T_Facture[[#This Row],[Quantité]]*T_Facture[[#This Row],[PU]],"")</f>
        <v/>
      </c>
      <c r="G15" s="50"/>
      <c r="K15" s="59" t="s">
        <v>2</v>
      </c>
      <c r="L15" s="61" t="str">
        <f>IF(AND(COUNTA(T_Facture[Désignation])&lt;&gt;0,COUNTA(T_Facture[Désignation])=COUNTA(T_Facture[Quantité])),"OK","NOK")</f>
        <v>NOK</v>
      </c>
    </row>
    <row r="16" spans="2:12" ht="20.100000000000001" customHeight="1" x14ac:dyDescent="0.4">
      <c r="B16" s="13" t="str">
        <f>IFERROR(INDEX(T_Produits[Code],MATCH(T_Facture[[#This Row],[Désignation]],T_Produits[Produits],0)),"")</f>
        <v/>
      </c>
      <c r="C16" s="47"/>
      <c r="D16" s="53"/>
      <c r="E16" s="14" t="str">
        <f>IFERROR(INDEX(T_Produits[PU],MATCH(T_Facture[[#This Row],[Désignation]],T_Produits[Produits],0)),"")</f>
        <v/>
      </c>
      <c r="F16" s="14" t="str">
        <f>IF(T_Facture[[#This Row],[Code]]&lt;&gt;"",T_Facture[[#This Row],[Quantité]]*T_Facture[[#This Row],[PU]],"")</f>
        <v/>
      </c>
      <c r="G16" s="50"/>
      <c r="K16" s="59" t="s">
        <v>24</v>
      </c>
      <c r="L16" s="61" t="str">
        <f>IF(AND(COUNTA(T_Facture[Désignation])&lt;&gt;0,COUNTA(T_Facture[Désignation])=COUNTA(T_Facture[TVA])),"OK","NOK")</f>
        <v>NOK</v>
      </c>
    </row>
    <row r="17" spans="2:12" ht="20.100000000000001" customHeight="1" x14ac:dyDescent="0.4">
      <c r="B17" s="13" t="str">
        <f>IFERROR(INDEX(T_Produits[Code],MATCH(T_Facture[[#This Row],[Désignation]],T_Produits[Produits],0)),"")</f>
        <v/>
      </c>
      <c r="C17" s="47"/>
      <c r="D17" s="53"/>
      <c r="E17" s="14" t="str">
        <f>IFERROR(INDEX(T_Produits[PU],MATCH(T_Facture[[#This Row],[Désignation]],T_Produits[Produits],0)),"")</f>
        <v/>
      </c>
      <c r="F17" s="14" t="str">
        <f>IF(T_Facture[[#This Row],[Code]]&lt;&gt;"",T_Facture[[#This Row],[Quantité]]*T_Facture[[#This Row],[PU]],"")</f>
        <v/>
      </c>
      <c r="G17" s="50"/>
      <c r="K17" s="60" t="s">
        <v>28</v>
      </c>
      <c r="L17" s="62" t="str">
        <f>IF(OR(G38=0,G38&lt;&gt;SUM(F32:F33)),"NOK","OK")</f>
        <v>NOK</v>
      </c>
    </row>
    <row r="18" spans="2:12" ht="20.100000000000001" customHeight="1" x14ac:dyDescent="0.4">
      <c r="B18" s="13" t="str">
        <f>IFERROR(INDEX(T_Produits[Code],MATCH(T_Facture[[#This Row],[Désignation]],T_Produits[Produits],0)),"")</f>
        <v/>
      </c>
      <c r="C18" s="47"/>
      <c r="D18" s="53"/>
      <c r="E18" s="14" t="str">
        <f>IFERROR(INDEX(T_Produits[PU],MATCH(T_Facture[[#This Row],[Désignation]],T_Produits[Produits],0)),"")</f>
        <v/>
      </c>
      <c r="F18" s="14" t="str">
        <f>IF(T_Facture[[#This Row],[Code]]&lt;&gt;"",T_Facture[[#This Row],[Quantité]]*T_Facture[[#This Row],[PU]],"")</f>
        <v/>
      </c>
      <c r="G18" s="50"/>
    </row>
    <row r="19" spans="2:12" ht="20.100000000000001" customHeight="1" x14ac:dyDescent="0.4">
      <c r="B19" s="13" t="str">
        <f>IFERROR(INDEX(T_Produits[Code],MATCH(T_Facture[[#This Row],[Désignation]],T_Produits[Produits],0)),"")</f>
        <v/>
      </c>
      <c r="C19" s="47"/>
      <c r="D19" s="53"/>
      <c r="E19" s="14" t="str">
        <f>IFERROR(INDEX(T_Produits[PU],MATCH(T_Facture[[#This Row],[Désignation]],T_Produits[Produits],0)),"")</f>
        <v/>
      </c>
      <c r="F19" s="14" t="str">
        <f>IF(T_Facture[[#This Row],[Code]]&lt;&gt;"",T_Facture[[#This Row],[Quantité]]*T_Facture[[#This Row],[PU]],"")</f>
        <v/>
      </c>
      <c r="G19" s="50"/>
      <c r="K19" s="65" t="s">
        <v>81</v>
      </c>
      <c r="L19" s="66" t="str">
        <f>IF(MAX(T_Recap_Facture[vérif numérotation])+1=NumFac,"OK","NOK")</f>
        <v>OK</v>
      </c>
    </row>
    <row r="20" spans="2:12" ht="20.100000000000001" customHeight="1" x14ac:dyDescent="0.4">
      <c r="B20" s="13" t="str">
        <f>IFERROR(INDEX(T_Produits[Code],MATCH(T_Facture[[#This Row],[Désignation]],T_Produits[Produits],0)),"")</f>
        <v/>
      </c>
      <c r="C20" s="47"/>
      <c r="D20" s="53"/>
      <c r="E20" s="14" t="str">
        <f>IFERROR(INDEX(T_Produits[PU],MATCH(T_Facture[[#This Row],[Désignation]],T_Produits[Produits],0)),"")</f>
        <v/>
      </c>
      <c r="F20" s="14" t="str">
        <f>IF(T_Facture[[#This Row],[Code]]&lt;&gt;"",T_Facture[[#This Row],[Quantité]]*T_Facture[[#This Row],[PU]],"")</f>
        <v/>
      </c>
      <c r="G20" s="50"/>
      <c r="K20" s="67" t="str">
        <f>IF(L19="OK","","Attention le numéro de la prochaine facture ne correspond pas à la suite logique du Récap facture")</f>
        <v/>
      </c>
    </row>
    <row r="21" spans="2:12" ht="20.100000000000001" customHeight="1" x14ac:dyDescent="0.4">
      <c r="B21" s="13" t="str">
        <f>IFERROR(INDEX(T_Produits[Code],MATCH(T_Facture[[#This Row],[Désignation]],T_Produits[Produits],0)),"")</f>
        <v/>
      </c>
      <c r="C21" s="47"/>
      <c r="D21" s="53"/>
      <c r="E21" s="14" t="str">
        <f>IFERROR(INDEX(T_Produits[PU],MATCH(T_Facture[[#This Row],[Désignation]],T_Produits[Produits],0)),"")</f>
        <v/>
      </c>
      <c r="F21" s="14" t="str">
        <f>IF(T_Facture[[#This Row],[Code]]&lt;&gt;"",T_Facture[[#This Row],[Quantité]]*T_Facture[[#This Row],[PU]],"")</f>
        <v/>
      </c>
      <c r="G21" s="50"/>
    </row>
    <row r="22" spans="2:12" ht="20.100000000000001" customHeight="1" x14ac:dyDescent="0.4">
      <c r="B22" s="13" t="str">
        <f>IFERROR(INDEX(T_Produits[Code],MATCH(T_Facture[[#This Row],[Désignation]],T_Produits[Produits],0)),"")</f>
        <v/>
      </c>
      <c r="C22" s="47"/>
      <c r="D22" s="53"/>
      <c r="E22" s="14" t="str">
        <f>IFERROR(INDEX(T_Produits[PU],MATCH(T_Facture[[#This Row],[Désignation]],T_Produits[Produits],0)),"")</f>
        <v/>
      </c>
      <c r="F22" s="14" t="str">
        <f>IF(T_Facture[[#This Row],[Code]]&lt;&gt;"",T_Facture[[#This Row],[Quantité]]*T_Facture[[#This Row],[PU]],"")</f>
        <v/>
      </c>
      <c r="G22" s="50"/>
    </row>
    <row r="23" spans="2:12" ht="20.100000000000001" customHeight="1" x14ac:dyDescent="0.4">
      <c r="B23" s="13" t="str">
        <f>IFERROR(INDEX(T_Produits[Code],MATCH(T_Facture[[#This Row],[Désignation]],T_Produits[Produits],0)),"")</f>
        <v/>
      </c>
      <c r="C23" s="47"/>
      <c r="D23" s="53"/>
      <c r="E23" s="14" t="str">
        <f>IFERROR(INDEX(T_Produits[PU],MATCH(T_Facture[[#This Row],[Désignation]],T_Produits[Produits],0)),"")</f>
        <v/>
      </c>
      <c r="F23" s="14" t="str">
        <f>IF(T_Facture[[#This Row],[Code]]&lt;&gt;"",T_Facture[[#This Row],[Quantité]]*T_Facture[[#This Row],[PU]],"")</f>
        <v/>
      </c>
      <c r="G23" s="50"/>
    </row>
    <row r="24" spans="2:12" ht="20.100000000000001" customHeight="1" x14ac:dyDescent="0.4">
      <c r="B24" s="13" t="str">
        <f>IFERROR(INDEX(T_Produits[Code],MATCH(T_Facture[[#This Row],[Désignation]],T_Produits[Produits],0)),"")</f>
        <v/>
      </c>
      <c r="C24" s="47"/>
      <c r="D24" s="53"/>
      <c r="E24" s="14" t="str">
        <f>IFERROR(INDEX(T_Produits[PU],MATCH(T_Facture[[#This Row],[Désignation]],T_Produits[Produits],0)),"")</f>
        <v/>
      </c>
      <c r="F24" s="14" t="str">
        <f>IF(T_Facture[[#This Row],[Code]]&lt;&gt;"",T_Facture[[#This Row],[Quantité]]*T_Facture[[#This Row],[PU]],"")</f>
        <v/>
      </c>
      <c r="G24" s="50"/>
    </row>
    <row r="25" spans="2:12" ht="20.100000000000001" customHeight="1" x14ac:dyDescent="0.4">
      <c r="B25" s="13" t="str">
        <f>IFERROR(INDEX(T_Produits[Code],MATCH(T_Facture[[#This Row],[Désignation]],T_Produits[Produits],0)),"")</f>
        <v/>
      </c>
      <c r="C25" s="47"/>
      <c r="D25" s="53"/>
      <c r="E25" s="14" t="str">
        <f>IFERROR(INDEX(T_Produits[PU],MATCH(T_Facture[[#This Row],[Désignation]],T_Produits[Produits],0)),"")</f>
        <v/>
      </c>
      <c r="F25" s="14" t="str">
        <f>IF(T_Facture[[#This Row],[Code]]&lt;&gt;"",T_Facture[[#This Row],[Quantité]]*T_Facture[[#This Row],[PU]],"")</f>
        <v/>
      </c>
      <c r="G25" s="50"/>
    </row>
    <row r="26" spans="2:12" ht="20.100000000000001" customHeight="1" x14ac:dyDescent="0.4">
      <c r="B26" s="13" t="str">
        <f>IFERROR(INDEX(T_Produits[Code],MATCH(T_Facture[[#This Row],[Désignation]],T_Produits[Produits],0)),"")</f>
        <v/>
      </c>
      <c r="C26" s="47"/>
      <c r="D26" s="53"/>
      <c r="E26" s="14" t="str">
        <f>IFERROR(INDEX(T_Produits[PU],MATCH(T_Facture[[#This Row],[Désignation]],T_Produits[Produits],0)),"")</f>
        <v/>
      </c>
      <c r="F26" s="14" t="str">
        <f>IF(T_Facture[[#This Row],[Code]]&lt;&gt;"",T_Facture[[#This Row],[Quantité]]*T_Facture[[#This Row],[PU]],"")</f>
        <v/>
      </c>
      <c r="G26" s="50"/>
    </row>
    <row r="27" spans="2:12" ht="20.100000000000001" customHeight="1" x14ac:dyDescent="0.4">
      <c r="B27" s="13" t="str">
        <f>IFERROR(INDEX(T_Produits[Code],MATCH(T_Facture[[#This Row],[Désignation]],T_Produits[Produits],0)),"")</f>
        <v/>
      </c>
      <c r="C27" s="47"/>
      <c r="D27" s="53"/>
      <c r="E27" s="14" t="str">
        <f>IFERROR(INDEX(T_Produits[PU],MATCH(T_Facture[[#This Row],[Désignation]],T_Produits[Produits],0)),"")</f>
        <v/>
      </c>
      <c r="F27" s="14" t="str">
        <f>IF(T_Facture[[#This Row],[Code]]&lt;&gt;"",T_Facture[[#This Row],[Quantité]]*T_Facture[[#This Row],[PU]],"")</f>
        <v/>
      </c>
      <c r="G27" s="50"/>
    </row>
    <row r="28" spans="2:12" ht="20.100000000000001" customHeight="1" x14ac:dyDescent="0.4">
      <c r="B28" s="13" t="str">
        <f>IFERROR(INDEX(T_Produits[Code],MATCH(T_Facture[[#This Row],[Désignation]],T_Produits[Produits],0)),"")</f>
        <v/>
      </c>
      <c r="C28" s="47"/>
      <c r="D28" s="53"/>
      <c r="E28" s="14" t="str">
        <f>IFERROR(INDEX(T_Produits[PU],MATCH(T_Facture[[#This Row],[Désignation]],T_Produits[Produits],0)),"")</f>
        <v/>
      </c>
      <c r="F28" s="14" t="str">
        <f>IF(T_Facture[[#This Row],[Code]]&lt;&gt;"",T_Facture[[#This Row],[Quantité]]*T_Facture[[#This Row],[PU]],"")</f>
        <v/>
      </c>
      <c r="G28" s="50"/>
    </row>
    <row r="29" spans="2:12" ht="20.100000000000001" customHeight="1" x14ac:dyDescent="0.4">
      <c r="B29" s="15" t="str">
        <f>IFERROR(INDEX(T_Produits[Code],MATCH(T_Facture[[#This Row],[Désignation]],T_Produits[Produits],0)),"")</f>
        <v/>
      </c>
      <c r="C29" s="48"/>
      <c r="D29" s="54"/>
      <c r="E29" s="16" t="str">
        <f>IFERROR(INDEX(T_Produits[PU],MATCH(T_Facture[[#This Row],[Désignation]],T_Produits[Produits],0)),"")</f>
        <v/>
      </c>
      <c r="F29" s="16" t="str">
        <f>IF(T_Facture[[#This Row],[Code]]&lt;&gt;"",T_Facture[[#This Row],[Quantité]]*T_Facture[[#This Row],[PU]],"")</f>
        <v/>
      </c>
      <c r="G29" s="51"/>
    </row>
    <row r="31" spans="2:12" ht="20.100000000000001" customHeight="1" x14ac:dyDescent="0.4">
      <c r="C31" s="30" t="s">
        <v>28</v>
      </c>
      <c r="D31" s="31" t="s">
        <v>29</v>
      </c>
      <c r="E31" s="31" t="s">
        <v>24</v>
      </c>
      <c r="F31" s="32" t="s">
        <v>30</v>
      </c>
    </row>
    <row r="32" spans="2:12" ht="20.100000000000001" customHeight="1" x14ac:dyDescent="0.4">
      <c r="C32" s="29">
        <f>IF(F36&lt;&gt;"",F36,"")</f>
        <v>0</v>
      </c>
      <c r="D32" s="152">
        <f>IF(C32&lt;&gt;"",SUMIF(T_Facture[TVA],C32,T_Facture[Total]),"")</f>
        <v>0</v>
      </c>
      <c r="E32" s="152" t="str">
        <f>IFERROR(IF(C32&lt;&gt;"",D32*RIGHT(C32,LEN(C32)-4),""),"")</f>
        <v/>
      </c>
      <c r="F32" s="153" t="str">
        <f>IFERROR(D32+E32,"")</f>
        <v/>
      </c>
    </row>
    <row r="33" spans="2:7" ht="20.100000000000001" customHeight="1" x14ac:dyDescent="0.4">
      <c r="C33" s="28" t="str">
        <f>IF(F37&lt;&gt;"",F37,"")</f>
        <v/>
      </c>
      <c r="D33" s="161" t="str">
        <f>IF(C33&lt;&gt;"",SUMIF(T_Facture[TVA],C33,T_Facture[Total]),"")</f>
        <v/>
      </c>
      <c r="E33" s="161" t="str">
        <f>IFERROR(IF(C33&lt;&gt;"",D33*RIGHT(C33,LEN(C33)-4),""),"")</f>
        <v/>
      </c>
      <c r="F33" s="154" t="str">
        <f>IFERROR(D33+E33,"")</f>
        <v/>
      </c>
    </row>
    <row r="35" spans="2:7" ht="20.100000000000001" customHeight="1" x14ac:dyDescent="0.4">
      <c r="B35" s="201" t="s">
        <v>8</v>
      </c>
      <c r="C35" s="201"/>
      <c r="D35" s="201"/>
      <c r="F35" s="17" t="s">
        <v>5</v>
      </c>
      <c r="G35" s="158">
        <f>SUM(T_Facture[Total])</f>
        <v>0</v>
      </c>
    </row>
    <row r="36" spans="2:7" ht="20.100000000000001" customHeight="1" x14ac:dyDescent="0.4">
      <c r="B36" s="184" t="str">
        <f>"Acompte de 30% à la commande soit : "&amp;TEXT(G38*30%,"# ##0,00€")</f>
        <v>Acompte de 30% à la commande soit : 0,00€</v>
      </c>
      <c r="C36" s="184"/>
      <c r="D36" s="184"/>
      <c r="F36" s="58">
        <f t="array" ref="F36">IFERROR(INDEX(T_Facture[TVA],MATCH(0,COUNTIF($F$35:F35,T_Facture[TVA]),0)),"")</f>
        <v>0</v>
      </c>
      <c r="G36" s="159" t="str">
        <f>IF(E32&lt;&gt;0,E32,0)</f>
        <v/>
      </c>
    </row>
    <row r="37" spans="2:7" ht="20.100000000000001" customHeight="1" x14ac:dyDescent="0.4">
      <c r="B37" s="184" t="s">
        <v>13</v>
      </c>
      <c r="C37" s="184"/>
      <c r="D37" s="184"/>
      <c r="F37" s="58" t="str">
        <f t="array" ref="F37">IFERROR(INDEX(T_Facture[TVA],MATCH(0,COUNTIF($F$35:F36,T_Facture[TVA]),0)),"")</f>
        <v/>
      </c>
      <c r="G37" s="159" t="str">
        <f>IF(E33&lt;&gt;0,E33,0)</f>
        <v/>
      </c>
    </row>
    <row r="38" spans="2:7" ht="20.100000000000001" customHeight="1" x14ac:dyDescent="0.4">
      <c r="B38" s="184" t="str">
        <f>"Paiement comptant à la réception du chantier soit : "&amp;TEXT(G38*70%,"# ##0,00€")</f>
        <v>Paiement comptant à la réception du chantier soit : 0,00€</v>
      </c>
      <c r="C38" s="184"/>
      <c r="D38" s="184"/>
      <c r="F38" s="18" t="s">
        <v>7</v>
      </c>
      <c r="G38" s="160">
        <f>SUM(G35:G37)</f>
        <v>0</v>
      </c>
    </row>
    <row r="39" spans="2:7" s="38" customFormat="1" ht="20.100000000000001" customHeight="1" x14ac:dyDescent="0.4">
      <c r="B39" s="214"/>
      <c r="C39" s="214"/>
      <c r="D39" s="37"/>
      <c r="F39" s="35"/>
      <c r="G39" s="36"/>
    </row>
    <row r="40" spans="2:7" s="38" customFormat="1" ht="20.100000000000001" customHeight="1" x14ac:dyDescent="0.4">
      <c r="B40" s="88"/>
      <c r="C40" s="88"/>
      <c r="D40" s="37"/>
      <c r="F40" s="17" t="s">
        <v>31</v>
      </c>
      <c r="G40" s="26"/>
    </row>
    <row r="41" spans="2:7" s="38" customFormat="1" ht="20.100000000000001" customHeight="1" x14ac:dyDescent="0.4">
      <c r="B41" s="88"/>
      <c r="C41" s="89"/>
      <c r="D41" s="37"/>
      <c r="F41" s="18" t="s">
        <v>32</v>
      </c>
      <c r="G41" s="27">
        <f>G38-G40</f>
        <v>0</v>
      </c>
    </row>
    <row r="42" spans="2:7" ht="20.100000000000001" customHeight="1" x14ac:dyDescent="0.4">
      <c r="E42" s="19"/>
      <c r="F42" s="186"/>
      <c r="G42" s="186"/>
    </row>
    <row r="43" spans="2:7" ht="20.100000000000001" customHeight="1" x14ac:dyDescent="0.4">
      <c r="B43" s="192" t="s">
        <v>16</v>
      </c>
      <c r="C43" s="193"/>
      <c r="D43" s="21"/>
      <c r="E43" s="203" t="s">
        <v>17</v>
      </c>
      <c r="F43" s="204"/>
      <c r="G43" s="205"/>
    </row>
    <row r="44" spans="2:7" ht="20.100000000000001" customHeight="1" x14ac:dyDescent="0.4">
      <c r="B44" s="194"/>
      <c r="C44" s="195"/>
      <c r="D44" s="21"/>
      <c r="E44" s="206" t="s">
        <v>18</v>
      </c>
      <c r="F44" s="207"/>
      <c r="G44" s="22" t="s">
        <v>19</v>
      </c>
    </row>
    <row r="45" spans="2:7" ht="20.100000000000001" customHeight="1" x14ac:dyDescent="0.4">
      <c r="B45" s="194"/>
      <c r="C45" s="195"/>
      <c r="D45" s="21"/>
      <c r="E45" s="185"/>
      <c r="F45" s="186"/>
      <c r="G45" s="187"/>
    </row>
    <row r="46" spans="2:7" ht="20.100000000000001" customHeight="1" x14ac:dyDescent="0.4">
      <c r="B46" s="194"/>
      <c r="C46" s="195"/>
      <c r="D46" s="21"/>
      <c r="E46" s="185"/>
      <c r="F46" s="186"/>
      <c r="G46" s="187"/>
    </row>
    <row r="47" spans="2:7" ht="20.100000000000001" customHeight="1" x14ac:dyDescent="0.4">
      <c r="B47" s="194"/>
      <c r="C47" s="195"/>
      <c r="D47" s="21"/>
      <c r="E47" s="185"/>
      <c r="F47" s="186"/>
      <c r="G47" s="187"/>
    </row>
    <row r="48" spans="2:7" ht="20.100000000000001" customHeight="1" x14ac:dyDescent="0.4">
      <c r="B48" s="194"/>
      <c r="C48" s="195"/>
      <c r="E48" s="185"/>
      <c r="F48" s="186"/>
      <c r="G48" s="187"/>
    </row>
    <row r="49" spans="2:7" ht="20.100000000000001" customHeight="1" x14ac:dyDescent="0.4">
      <c r="B49" s="196"/>
      <c r="C49" s="197"/>
      <c r="D49" s="23"/>
      <c r="E49" s="188"/>
      <c r="F49" s="189"/>
      <c r="G49" s="190"/>
    </row>
    <row r="51" spans="2:7" ht="15" customHeight="1" x14ac:dyDescent="0.4">
      <c r="B51" s="183" t="s">
        <v>10</v>
      </c>
      <c r="C51" s="183"/>
      <c r="D51" s="183"/>
      <c r="E51" s="183"/>
      <c r="F51" s="183"/>
      <c r="G51" s="183"/>
    </row>
    <row r="52" spans="2:7" ht="15" customHeight="1" x14ac:dyDescent="0.4">
      <c r="B52" s="183" t="s">
        <v>11</v>
      </c>
      <c r="C52" s="183"/>
      <c r="D52" s="183"/>
      <c r="E52" s="183"/>
      <c r="F52" s="183"/>
      <c r="G52" s="183"/>
    </row>
    <row r="53" spans="2:7" ht="15" customHeight="1" x14ac:dyDescent="0.4">
      <c r="B53" s="183" t="s">
        <v>12</v>
      </c>
      <c r="C53" s="183"/>
      <c r="D53" s="183"/>
      <c r="E53" s="183"/>
      <c r="F53" s="183"/>
      <c r="G53" s="183"/>
    </row>
  </sheetData>
  <sheetProtection sheet="1" selectLockedCells="1"/>
  <mergeCells count="24">
    <mergeCell ref="B51:G51"/>
    <mergeCell ref="B52:G52"/>
    <mergeCell ref="B53:G53"/>
    <mergeCell ref="B36:D36"/>
    <mergeCell ref="B37:D37"/>
    <mergeCell ref="B38:D38"/>
    <mergeCell ref="F42:G42"/>
    <mergeCell ref="B43:C49"/>
    <mergeCell ref="E43:G43"/>
    <mergeCell ref="E44:F44"/>
    <mergeCell ref="E45:G49"/>
    <mergeCell ref="B39:C39"/>
    <mergeCell ref="K12:L12"/>
    <mergeCell ref="B35:D35"/>
    <mergeCell ref="B6:C6"/>
    <mergeCell ref="B7:C7"/>
    <mergeCell ref="E7:G7"/>
    <mergeCell ref="B8:C8"/>
    <mergeCell ref="E8:G8"/>
    <mergeCell ref="B9:C9"/>
    <mergeCell ref="E9:G9"/>
    <mergeCell ref="B10:C10"/>
    <mergeCell ref="E10:G10"/>
    <mergeCell ref="E11:G11"/>
  </mergeCells>
  <conditionalFormatting sqref="L13:L17 L19">
    <cfRule type="expression" dxfId="53" priority="1">
      <formula>L13="NOK"</formula>
    </cfRule>
    <cfRule type="expression" dxfId="52" priority="2">
      <formula>L13="OK"</formula>
    </cfRule>
  </conditionalFormatting>
  <dataValidations count="3">
    <dataValidation type="list" allowBlank="1" showInputMessage="1" showErrorMessage="1" sqref="G14:G29" xr:uid="{18ACA5E0-FFFC-4C59-94CF-69531975BD31}">
      <formula1>L_TVA</formula1>
    </dataValidation>
    <dataValidation type="list" allowBlank="1" showInputMessage="1" showErrorMessage="1" sqref="C14:C29" xr:uid="{D1FD6A30-B485-4082-B23C-931C98BFC4CE}">
      <formula1>L_Produits</formula1>
    </dataValidation>
    <dataValidation type="list" allowBlank="1" showInputMessage="1" showErrorMessage="1" sqref="E7:G7" xr:uid="{567E2F5F-CF79-47A1-8334-97B1F065BEE7}">
      <formula1>L_Clients</formula1>
    </dataValidation>
  </dataValidations>
  <printOptions horizontalCentered="1" verticalCentered="1"/>
  <pageMargins left="0" right="0" top="0" bottom="0" header="0" footer="0"/>
  <pageSetup paperSize="9" scale="75" orientation="portrait" horizontalDpi="4294967293" verticalDpi="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9585-B67A-4D16-9213-5FC707D93954}">
  <sheetPr codeName="Feuil5">
    <pageSetUpPr fitToPage="1"/>
  </sheetPr>
  <dimension ref="B1:L54"/>
  <sheetViews>
    <sheetView showGridLines="0" showZeros="0" zoomScale="73" zoomScaleNormal="73" workbookViewId="0">
      <selection activeCell="F5" sqref="F5"/>
    </sheetView>
  </sheetViews>
  <sheetFormatPr baseColWidth="10" defaultColWidth="11" defaultRowHeight="20.100000000000001" customHeight="1" x14ac:dyDescent="0.4"/>
  <cols>
    <col min="1" max="1" width="3.59765625" style="1" customWidth="1"/>
    <col min="2" max="2" width="12.59765625" style="1" customWidth="1"/>
    <col min="3" max="3" width="30.59765625" style="1" customWidth="1"/>
    <col min="4" max="4" width="12.59765625" style="1" customWidth="1"/>
    <col min="5" max="7" width="15.59765625" style="1" customWidth="1"/>
    <col min="8" max="8" width="3.59765625" style="1" customWidth="1"/>
    <col min="9" max="16384" width="11" style="1"/>
  </cols>
  <sheetData>
    <row r="1" spans="2:12" ht="20.100000000000001" customHeight="1" x14ac:dyDescent="0.4">
      <c r="F1" s="2"/>
      <c r="G1" s="2"/>
    </row>
    <row r="2" spans="2:12" ht="20.100000000000001" customHeight="1" x14ac:dyDescent="0.4">
      <c r="E2" s="3" t="s">
        <v>9</v>
      </c>
      <c r="F2" s="4" t="str">
        <f ca="1">LEFT(E2,1)&amp;YEAR(FacDate)&amp;TEXT(NumFac,"000")</f>
        <v>F2020001</v>
      </c>
      <c r="G2" s="4"/>
    </row>
    <row r="3" spans="2:12" ht="20.100000000000001" customHeight="1" x14ac:dyDescent="0.4">
      <c r="E3" s="3" t="s">
        <v>53</v>
      </c>
      <c r="F3" s="5">
        <f ca="1">TODAY()</f>
        <v>44109</v>
      </c>
      <c r="G3" s="5"/>
    </row>
    <row r="4" spans="2:12" ht="20.100000000000001" customHeight="1" x14ac:dyDescent="0.4">
      <c r="E4" s="34"/>
      <c r="F4" s="33"/>
      <c r="G4" s="33"/>
    </row>
    <row r="5" spans="2:12" ht="20.100000000000001" customHeight="1" x14ac:dyDescent="0.4">
      <c r="E5" s="92" t="s">
        <v>79</v>
      </c>
      <c r="F5" s="90"/>
      <c r="G5" s="39"/>
    </row>
    <row r="6" spans="2:12" ht="29.4" x14ac:dyDescent="0.4">
      <c r="B6" s="181" t="s">
        <v>49</v>
      </c>
      <c r="C6" s="181"/>
      <c r="E6" s="68"/>
      <c r="F6" s="68"/>
      <c r="G6" s="68"/>
    </row>
    <row r="7" spans="2:12" ht="20.100000000000001" customHeight="1" x14ac:dyDescent="0.4">
      <c r="B7" s="182" t="s">
        <v>54</v>
      </c>
      <c r="C7" s="182"/>
      <c r="E7" s="217" t="str">
        <f>IFERROR(INDEX(T_ListeDevisClients[Client],MATCH(F5,T_ListeDevisClients[N° Devis],0)),"")</f>
        <v/>
      </c>
      <c r="F7" s="218"/>
      <c r="G7" s="219"/>
    </row>
    <row r="8" spans="2:12" ht="20.100000000000001" customHeight="1" x14ac:dyDescent="0.4">
      <c r="B8" s="182" t="s">
        <v>56</v>
      </c>
      <c r="C8" s="182"/>
      <c r="E8" s="206" t="str">
        <f>IFERROR(INDEX(T_Clients[Adresse1],MATCH(E7,T_Clients[Client],0)),"")</f>
        <v/>
      </c>
      <c r="F8" s="207"/>
      <c r="G8" s="212"/>
    </row>
    <row r="9" spans="2:12" ht="20.100000000000001" customHeight="1" x14ac:dyDescent="0.4">
      <c r="B9" s="182" t="s">
        <v>51</v>
      </c>
      <c r="C9" s="182"/>
      <c r="E9" s="206" t="str">
        <f>IFERROR(INDEX(T_Clients[Adresse2],MATCH(E7,T_Clients[Client],0)),"")</f>
        <v/>
      </c>
      <c r="F9" s="207"/>
      <c r="G9" s="212"/>
    </row>
    <row r="10" spans="2:12" ht="20.100000000000001" customHeight="1" x14ac:dyDescent="0.4">
      <c r="B10" s="182" t="s">
        <v>52</v>
      </c>
      <c r="C10" s="182"/>
      <c r="E10" s="206" t="str">
        <f>IFERROR(INDEX(T_Clients[Adresse3],MATCH(E7,T_Clients[Client],0)),"")</f>
        <v/>
      </c>
      <c r="F10" s="207"/>
      <c r="G10" s="212"/>
    </row>
    <row r="11" spans="2:12" ht="20.100000000000001" customHeight="1" x14ac:dyDescent="0.4">
      <c r="E11" s="198" t="str">
        <f>IFERROR(INDEX(T_Clients[CP],MATCH(E7,T_Clients[Client],0))&amp;" "&amp;INDEX(T_Clients[Ville],MATCH(E7,T_Clients[Client],0)),"")</f>
        <v/>
      </c>
      <c r="F11" s="199"/>
      <c r="G11" s="200"/>
    </row>
    <row r="12" spans="2:12" ht="20.100000000000001" customHeight="1" x14ac:dyDescent="0.4">
      <c r="K12" s="179" t="s">
        <v>62</v>
      </c>
      <c r="L12" s="180"/>
    </row>
    <row r="13" spans="2:12" ht="20.100000000000001" customHeight="1" x14ac:dyDescent="0.4">
      <c r="B13" s="8" t="s">
        <v>0</v>
      </c>
      <c r="C13" s="9" t="s">
        <v>1</v>
      </c>
      <c r="D13" s="9" t="s">
        <v>2</v>
      </c>
      <c r="E13" s="9" t="s">
        <v>3</v>
      </c>
      <c r="F13" s="9" t="s">
        <v>4</v>
      </c>
      <c r="G13" s="10" t="s">
        <v>24</v>
      </c>
      <c r="K13" s="63" t="s">
        <v>22</v>
      </c>
      <c r="L13" s="64" t="str">
        <f>IF(FacClient="","NOK","OK")</f>
        <v>NOK</v>
      </c>
    </row>
    <row r="14" spans="2:12" ht="20.100000000000001" customHeight="1" x14ac:dyDescent="0.4">
      <c r="B14" s="11" t="str">
        <f>IFERROR(INDEX(T_Produits[Code],MATCH(T_Facture_Devis[[#This Row],[Désignation]],T_Produits[Produits],0)),"")</f>
        <v/>
      </c>
      <c r="C14" s="47" t="str">
        <f>IFERROR(INDEX(T_RecapDevis[Désignation],MATCH('Facture (Suite devis)'!$C$41&amp;ROW()-13,T_RecapDevis[Nb occurrence],0)),"")</f>
        <v/>
      </c>
      <c r="D14" s="52">
        <f>IFERROR(INDEX(T_RecapDevis[Quantité],MATCH('Facture (Suite devis)'!$C$41&amp;ROW()-13,T_RecapDevis[Nb occurrence],0)),0)</f>
        <v>0</v>
      </c>
      <c r="E14" s="12" t="str">
        <f>IFERROR(INDEX(T_Produits[PU],MATCH(T_Facture_Devis[[#This Row],[Désignation]],T_Produits[Produits],0)),"")</f>
        <v/>
      </c>
      <c r="F14" s="12" t="str">
        <f>IF(T_Facture_Devis[[#This Row],[Code]]&lt;&gt;"",T_Facture_Devis[[#This Row],[Quantité]]*T_Facture_Devis[[#This Row],[PU]],"")</f>
        <v/>
      </c>
      <c r="G14" s="49" t="str">
        <f>IFERROR(INDEX(T_RecapDevis[TVA],MATCH('Facture (Suite devis)'!$C$41&amp;ROW()-13,T_RecapDevis[Nb occurrence],0)),"")</f>
        <v/>
      </c>
      <c r="K14" s="59" t="s">
        <v>61</v>
      </c>
      <c r="L14" s="61" t="str">
        <f>IF(COUNTBLANK(T_Facture_Devis[Désignation])=16,"NOK","OK")</f>
        <v>NOK</v>
      </c>
    </row>
    <row r="15" spans="2:12" ht="20.100000000000001" customHeight="1" x14ac:dyDescent="0.4">
      <c r="B15" s="13" t="str">
        <f>IFERROR(INDEX(T_Produits[Code],MATCH(T_Facture_Devis[[#This Row],[Désignation]],T_Produits[Produits],0)),"")</f>
        <v/>
      </c>
      <c r="C15" s="47" t="str">
        <f>IFERROR(INDEX(T_RecapDevis[Désignation],MATCH('Facture (Suite devis)'!$C$41&amp;ROW()-13,T_RecapDevis[Nb occurrence],0)),"")</f>
        <v/>
      </c>
      <c r="D15" s="53">
        <f>IFERROR(INDEX(T_RecapDevis[Quantité],MATCH('Facture (Suite devis)'!$C$41&amp;ROW()-13,T_RecapDevis[Nb occurrence],0)),0)</f>
        <v>0</v>
      </c>
      <c r="E15" s="14" t="str">
        <f>IFERROR(INDEX(T_Produits[PU],MATCH(T_Facture_Devis[[#This Row],[Désignation]],T_Produits[Produits],0)),"")</f>
        <v/>
      </c>
      <c r="F15" s="14" t="str">
        <f>IF(T_Facture_Devis[[#This Row],[Code]]&lt;&gt;"",T_Facture_Devis[[#This Row],[Quantité]]*T_Facture_Devis[[#This Row],[PU]],"")</f>
        <v/>
      </c>
      <c r="G15" s="50" t="str">
        <f>IFERROR(INDEX(T_RecapDevis[TVA],MATCH('Facture (Suite devis)'!$C$41&amp;ROW()-13,T_RecapDevis[Nb occurrence],0)),"")</f>
        <v/>
      </c>
      <c r="K15" s="59" t="s">
        <v>2</v>
      </c>
      <c r="L15" s="61" t="str">
        <f>IF(AND(COUNTBLANK(T_Facture_Devis[Désignation])&lt;&gt;16,COUNTBLANK(T_Facture_Devis[Quantité])&lt;&gt;16,COUNTA(T_Facture_Devis[Désignation])=COUNTA(T_Facture_Devis[Quantité])),"OK","NOK")</f>
        <v>NOK</v>
      </c>
    </row>
    <row r="16" spans="2:12" ht="20.100000000000001" customHeight="1" x14ac:dyDescent="0.4">
      <c r="B16" s="13" t="str">
        <f>IFERROR(INDEX(T_Produits[Code],MATCH(T_Facture_Devis[[#This Row],[Désignation]],T_Produits[Produits],0)),"")</f>
        <v/>
      </c>
      <c r="C16" s="47" t="str">
        <f>IFERROR(INDEX(T_RecapDevis[Désignation],MATCH('Facture (Suite devis)'!$C$41&amp;ROW()-13,T_RecapDevis[Nb occurrence],0)),"")</f>
        <v/>
      </c>
      <c r="D16" s="53">
        <f>IFERROR(INDEX(T_RecapDevis[Quantité],MATCH('Facture (Suite devis)'!$C$41&amp;ROW()-13,T_RecapDevis[Nb occurrence],0)),0)</f>
        <v>0</v>
      </c>
      <c r="E16" s="14" t="str">
        <f>IFERROR(INDEX(T_Produits[PU],MATCH(T_Facture_Devis[[#This Row],[Désignation]],T_Produits[Produits],0)),"")</f>
        <v/>
      </c>
      <c r="F16" s="14" t="str">
        <f>IF(T_Facture_Devis[[#This Row],[Code]]&lt;&gt;"",T_Facture_Devis[[#This Row],[Quantité]]*T_Facture_Devis[[#This Row],[PU]],"")</f>
        <v/>
      </c>
      <c r="G16" s="50" t="str">
        <f>IFERROR(INDEX(T_RecapDevis[TVA],MATCH('Facture (Suite devis)'!$C$41&amp;ROW()-13,T_RecapDevis[Nb occurrence],0)),"")</f>
        <v/>
      </c>
      <c r="K16" s="59" t="s">
        <v>24</v>
      </c>
      <c r="L16" s="61" t="str">
        <f>IF(AND(COUNTBLANK(T_Facture_Devis[Désignation])&lt;&gt;16,COUNTA(T_Facture_Devis[Désignation])=COUNTA(T_Facture_Devis[TVA])),"OK","NOK")</f>
        <v>NOK</v>
      </c>
    </row>
    <row r="17" spans="2:12" ht="20.100000000000001" customHeight="1" x14ac:dyDescent="0.4">
      <c r="B17" s="13" t="str">
        <f>IFERROR(INDEX(T_Produits[Code],MATCH(T_Facture_Devis[[#This Row],[Désignation]],T_Produits[Produits],0)),"")</f>
        <v/>
      </c>
      <c r="C17" s="47" t="str">
        <f>IFERROR(INDEX(T_RecapDevis[Désignation],MATCH('Facture (Suite devis)'!$C$41&amp;ROW()-13,T_RecapDevis[Nb occurrence],0)),"")</f>
        <v/>
      </c>
      <c r="D17" s="53">
        <f>IFERROR(INDEX(T_RecapDevis[Quantité],MATCH('Facture (Suite devis)'!$C$41&amp;ROW()-13,T_RecapDevis[Nb occurrence],0)),0)</f>
        <v>0</v>
      </c>
      <c r="E17" s="14" t="str">
        <f>IFERROR(INDEX(T_Produits[PU],MATCH(T_Facture_Devis[[#This Row],[Désignation]],T_Produits[Produits],0)),"")</f>
        <v/>
      </c>
      <c r="F17" s="14" t="str">
        <f>IF(T_Facture_Devis[[#This Row],[Code]]&lt;&gt;"",T_Facture_Devis[[#This Row],[Quantité]]*T_Facture_Devis[[#This Row],[PU]],"")</f>
        <v/>
      </c>
      <c r="G17" s="50" t="str">
        <f>IFERROR(INDEX(T_RecapDevis[TVA],MATCH('Facture (Suite devis)'!$C$41&amp;ROW()-13,T_RecapDevis[Nb occurrence],0)),"")</f>
        <v/>
      </c>
      <c r="K17" s="60" t="s">
        <v>28</v>
      </c>
      <c r="L17" s="62" t="str">
        <f>IF(OR(G38=0,G38&lt;&gt;SUM(F32:F33)),"NOK","OK")</f>
        <v>NOK</v>
      </c>
    </row>
    <row r="18" spans="2:12" ht="20.100000000000001" customHeight="1" x14ac:dyDescent="0.4">
      <c r="B18" s="13" t="str">
        <f>IFERROR(INDEX(T_Produits[Code],MATCH(T_Facture_Devis[[#This Row],[Désignation]],T_Produits[Produits],0)),"")</f>
        <v/>
      </c>
      <c r="C18" s="47" t="str">
        <f>IFERROR(INDEX(T_RecapDevis[Désignation],MATCH('Facture (Suite devis)'!$C$41&amp;ROW()-13,T_RecapDevis[Nb occurrence],0)),"")</f>
        <v/>
      </c>
      <c r="D18" s="53">
        <f>IFERROR(INDEX(T_RecapDevis[Quantité],MATCH('Facture (Suite devis)'!$C$41&amp;ROW()-13,T_RecapDevis[Nb occurrence],0)),0)</f>
        <v>0</v>
      </c>
      <c r="E18" s="14" t="str">
        <f>IFERROR(INDEX(T_Produits[PU],MATCH(T_Facture_Devis[[#This Row],[Désignation]],T_Produits[Produits],0)),"")</f>
        <v/>
      </c>
      <c r="F18" s="14" t="str">
        <f>IF(T_Facture_Devis[[#This Row],[Code]]&lt;&gt;"",T_Facture_Devis[[#This Row],[Quantité]]*T_Facture_Devis[[#This Row],[PU]],"")</f>
        <v/>
      </c>
      <c r="G18" s="50" t="str">
        <f>IFERROR(INDEX(T_RecapDevis[TVA],MATCH('Facture (Suite devis)'!$C$41&amp;ROW()-13,T_RecapDevis[Nb occurrence],0)),"")</f>
        <v/>
      </c>
    </row>
    <row r="19" spans="2:12" ht="20.100000000000001" customHeight="1" x14ac:dyDescent="0.4">
      <c r="B19" s="13" t="str">
        <f>IFERROR(INDEX(T_Produits[Code],MATCH(T_Facture_Devis[[#This Row],[Désignation]],T_Produits[Produits],0)),"")</f>
        <v/>
      </c>
      <c r="C19" s="47" t="str">
        <f>IFERROR(INDEX(T_RecapDevis[Désignation],MATCH('Facture (Suite devis)'!$C$41&amp;ROW()-13,T_RecapDevis[Nb occurrence],0)),"")</f>
        <v/>
      </c>
      <c r="D19" s="53">
        <f>IFERROR(INDEX(T_RecapDevis[Quantité],MATCH('Facture (Suite devis)'!$C$41&amp;ROW()-13,T_RecapDevis[Nb occurrence],0)),0)</f>
        <v>0</v>
      </c>
      <c r="E19" s="14" t="str">
        <f>IFERROR(INDEX(T_Produits[PU],MATCH(T_Facture_Devis[[#This Row],[Désignation]],T_Produits[Produits],0)),"")</f>
        <v/>
      </c>
      <c r="F19" s="14" t="str">
        <f>IF(T_Facture_Devis[[#This Row],[Code]]&lt;&gt;"",T_Facture_Devis[[#This Row],[Quantité]]*T_Facture_Devis[[#This Row],[PU]],"")</f>
        <v/>
      </c>
      <c r="G19" s="50" t="str">
        <f>IFERROR(INDEX(T_RecapDevis[TVA],MATCH('Facture (Suite devis)'!$C$41&amp;ROW()-13,T_RecapDevis[Nb occurrence],0)),"")</f>
        <v/>
      </c>
      <c r="K19" s="65" t="s">
        <v>81</v>
      </c>
      <c r="L19" s="66" t="str">
        <f>IF(MAX(T_Recap_Facture[vérif numérotation])+1=NumFac,"OK","NOK")</f>
        <v>OK</v>
      </c>
    </row>
    <row r="20" spans="2:12" ht="20.100000000000001" customHeight="1" x14ac:dyDescent="0.4">
      <c r="B20" s="13" t="str">
        <f>IFERROR(INDEX(T_Produits[Code],MATCH(T_Facture_Devis[[#This Row],[Désignation]],T_Produits[Produits],0)),"")</f>
        <v/>
      </c>
      <c r="C20" s="47" t="str">
        <f>IFERROR(INDEX(T_RecapDevis[Désignation],MATCH('Facture (Suite devis)'!$C$41&amp;ROW()-13,T_RecapDevis[Nb occurrence],0)),"")</f>
        <v/>
      </c>
      <c r="D20" s="53">
        <f>IFERROR(INDEX(T_RecapDevis[Quantité],MATCH('Facture (Suite devis)'!$C$41&amp;ROW()-13,T_RecapDevis[Nb occurrence],0)),0)</f>
        <v>0</v>
      </c>
      <c r="E20" s="14" t="str">
        <f>IFERROR(INDEX(T_Produits[PU],MATCH(T_Facture_Devis[[#This Row],[Désignation]],T_Produits[Produits],0)),"")</f>
        <v/>
      </c>
      <c r="F20" s="14" t="str">
        <f>IF(T_Facture_Devis[[#This Row],[Code]]&lt;&gt;"",T_Facture_Devis[[#This Row],[Quantité]]*T_Facture_Devis[[#This Row],[PU]],"")</f>
        <v/>
      </c>
      <c r="G20" s="50" t="str">
        <f>IFERROR(INDEX(T_RecapDevis[TVA],MATCH('Facture (Suite devis)'!$C$41&amp;ROW()-13,T_RecapDevis[Nb occurrence],0)),"")</f>
        <v/>
      </c>
      <c r="K20" s="67" t="str">
        <f>IF(L19="OK","","Attention le numéro de la prochaine facture ne correspond pas à la suite logique du Récap facture")</f>
        <v/>
      </c>
    </row>
    <row r="21" spans="2:12" ht="20.100000000000001" customHeight="1" x14ac:dyDescent="0.4">
      <c r="B21" s="13" t="str">
        <f>IFERROR(INDEX(T_Produits[Code],MATCH(T_Facture_Devis[[#This Row],[Désignation]],T_Produits[Produits],0)),"")</f>
        <v/>
      </c>
      <c r="C21" s="47" t="str">
        <f>IFERROR(INDEX(T_RecapDevis[Désignation],MATCH('Facture (Suite devis)'!$C$41&amp;ROW()-13,T_RecapDevis[Nb occurrence],0)),"")</f>
        <v/>
      </c>
      <c r="D21" s="53">
        <f>IFERROR(INDEX(T_RecapDevis[Quantité],MATCH('Facture (Suite devis)'!$C$41&amp;ROW()-13,T_RecapDevis[Nb occurrence],0)),0)</f>
        <v>0</v>
      </c>
      <c r="E21" s="14" t="str">
        <f>IFERROR(INDEX(T_Produits[PU],MATCH(T_Facture_Devis[[#This Row],[Désignation]],T_Produits[Produits],0)),"")</f>
        <v/>
      </c>
      <c r="F21" s="14" t="str">
        <f>IF(T_Facture_Devis[[#This Row],[Code]]&lt;&gt;"",T_Facture_Devis[[#This Row],[Quantité]]*T_Facture_Devis[[#This Row],[PU]],"")</f>
        <v/>
      </c>
      <c r="G21" s="50" t="str">
        <f>IFERROR(INDEX(T_RecapDevis[TVA],MATCH('Facture (Suite devis)'!$C$41&amp;ROW()-13,T_RecapDevis[Nb occurrence],0)),"")</f>
        <v/>
      </c>
    </row>
    <row r="22" spans="2:12" ht="20.100000000000001" customHeight="1" x14ac:dyDescent="0.4">
      <c r="B22" s="13" t="str">
        <f>IFERROR(INDEX(T_Produits[Code],MATCH(T_Facture_Devis[[#This Row],[Désignation]],T_Produits[Produits],0)),"")</f>
        <v/>
      </c>
      <c r="C22" s="47" t="str">
        <f>IFERROR(INDEX(T_RecapDevis[Désignation],MATCH('Facture (Suite devis)'!$C$41&amp;ROW()-13,T_RecapDevis[Nb occurrence],0)),"")</f>
        <v/>
      </c>
      <c r="D22" s="53">
        <f>IFERROR(INDEX(T_RecapDevis[Quantité],MATCH('Facture (Suite devis)'!$C$41&amp;ROW()-13,T_RecapDevis[Nb occurrence],0)),0)</f>
        <v>0</v>
      </c>
      <c r="E22" s="14" t="str">
        <f>IFERROR(INDEX(T_Produits[PU],MATCH(T_Facture_Devis[[#This Row],[Désignation]],T_Produits[Produits],0)),"")</f>
        <v/>
      </c>
      <c r="F22" s="14" t="str">
        <f>IF(T_Facture_Devis[[#This Row],[Code]]&lt;&gt;"",T_Facture_Devis[[#This Row],[Quantité]]*T_Facture_Devis[[#This Row],[PU]],"")</f>
        <v/>
      </c>
      <c r="G22" s="50" t="str">
        <f>IFERROR(INDEX(T_RecapDevis[TVA],MATCH('Facture (Suite devis)'!$C$41&amp;ROW()-13,T_RecapDevis[Nb occurrence],0)),"")</f>
        <v/>
      </c>
      <c r="K22" s="72"/>
    </row>
    <row r="23" spans="2:12" ht="20.100000000000001" customHeight="1" x14ac:dyDescent="0.4">
      <c r="B23" s="13" t="str">
        <f>IFERROR(INDEX(T_Produits[Code],MATCH(T_Facture_Devis[[#This Row],[Désignation]],T_Produits[Produits],0)),"")</f>
        <v/>
      </c>
      <c r="C23" s="47" t="str">
        <f>IFERROR(INDEX(T_RecapDevis[Désignation],MATCH('Facture (Suite devis)'!$C$41&amp;ROW()-13,T_RecapDevis[Nb occurrence],0)),"")</f>
        <v/>
      </c>
      <c r="D23" s="53">
        <f>IFERROR(INDEX(T_RecapDevis[Quantité],MATCH('Facture (Suite devis)'!$C$41&amp;ROW()-13,T_RecapDevis[Nb occurrence],0)),0)</f>
        <v>0</v>
      </c>
      <c r="E23" s="14" t="str">
        <f>IFERROR(INDEX(T_Produits[PU],MATCH(T_Facture_Devis[[#This Row],[Désignation]],T_Produits[Produits],0)),"")</f>
        <v/>
      </c>
      <c r="F23" s="14" t="str">
        <f>IF(T_Facture_Devis[[#This Row],[Code]]&lt;&gt;"",T_Facture_Devis[[#This Row],[Quantité]]*T_Facture_Devis[[#This Row],[PU]],"")</f>
        <v/>
      </c>
      <c r="G23" s="50" t="str">
        <f>IFERROR(INDEX(T_RecapDevis[TVA],MATCH('Facture (Suite devis)'!$C$41&amp;ROW()-13,T_RecapDevis[Nb occurrence],0)),"")</f>
        <v/>
      </c>
      <c r="K23" s="74"/>
      <c r="L23" s="74"/>
    </row>
    <row r="24" spans="2:12" ht="20.100000000000001" customHeight="1" x14ac:dyDescent="0.4">
      <c r="B24" s="13" t="str">
        <f>IFERROR(INDEX(T_Produits[Code],MATCH(T_Facture_Devis[[#This Row],[Désignation]],T_Produits[Produits],0)),"")</f>
        <v/>
      </c>
      <c r="C24" s="47" t="str">
        <f>IFERROR(INDEX(T_RecapDevis[Désignation],MATCH('Facture (Suite devis)'!$C$41&amp;ROW()-13,T_RecapDevis[Nb occurrence],0)),"")</f>
        <v/>
      </c>
      <c r="D24" s="53">
        <f>IFERROR(INDEX(T_RecapDevis[Quantité],MATCH('Facture (Suite devis)'!$C$41&amp;ROW()-13,T_RecapDevis[Nb occurrence],0)),0)</f>
        <v>0</v>
      </c>
      <c r="E24" s="14" t="str">
        <f>IFERROR(INDEX(T_Produits[PU],MATCH(T_Facture_Devis[[#This Row],[Désignation]],T_Produits[Produits],0)),"")</f>
        <v/>
      </c>
      <c r="F24" s="14" t="str">
        <f>IF(T_Facture_Devis[[#This Row],[Code]]&lt;&gt;"",T_Facture_Devis[[#This Row],[Quantité]]*T_Facture_Devis[[#This Row],[PU]],"")</f>
        <v/>
      </c>
      <c r="G24" s="50" t="str">
        <f>IFERROR(INDEX(T_RecapDevis[TVA],MATCH('Facture (Suite devis)'!$C$41&amp;ROW()-13,T_RecapDevis[Nb occurrence],0)),"")</f>
        <v/>
      </c>
      <c r="K24" s="72"/>
    </row>
    <row r="25" spans="2:12" ht="20.100000000000001" customHeight="1" x14ac:dyDescent="0.4">
      <c r="B25" s="13" t="str">
        <f>IFERROR(INDEX(T_Produits[Code],MATCH(T_Facture_Devis[[#This Row],[Désignation]],T_Produits[Produits],0)),"")</f>
        <v/>
      </c>
      <c r="C25" s="47" t="str">
        <f>IFERROR(INDEX(T_RecapDevis[Désignation],MATCH('Facture (Suite devis)'!$C$41&amp;ROW()-13,T_RecapDevis[Nb occurrence],0)),"")</f>
        <v/>
      </c>
      <c r="D25" s="53">
        <f>IFERROR(INDEX(T_RecapDevis[Quantité],MATCH('Facture (Suite devis)'!$C$41&amp;ROW()-13,T_RecapDevis[Nb occurrence],0)),0)</f>
        <v>0</v>
      </c>
      <c r="E25" s="14" t="str">
        <f>IFERROR(INDEX(T_Produits[PU],MATCH(T_Facture_Devis[[#This Row],[Désignation]],T_Produits[Produits],0)),"")</f>
        <v/>
      </c>
      <c r="F25" s="14" t="str">
        <f>IF(T_Facture_Devis[[#This Row],[Code]]&lt;&gt;"",T_Facture_Devis[[#This Row],[Quantité]]*T_Facture_Devis[[#This Row],[PU]],"")</f>
        <v/>
      </c>
      <c r="G25" s="50" t="str">
        <f>IFERROR(INDEX(T_RecapDevis[TVA],MATCH('Facture (Suite devis)'!$C$41&amp;ROW()-13,T_RecapDevis[Nb occurrence],0)),"")</f>
        <v/>
      </c>
      <c r="K25" s="74"/>
    </row>
    <row r="26" spans="2:12" ht="20.100000000000001" customHeight="1" x14ac:dyDescent="0.4">
      <c r="B26" s="13" t="str">
        <f>IFERROR(INDEX(T_Produits[Code],MATCH(T_Facture_Devis[[#This Row],[Désignation]],T_Produits[Produits],0)),"")</f>
        <v/>
      </c>
      <c r="C26" s="47" t="str">
        <f>IFERROR(INDEX(T_RecapDevis[Désignation],MATCH('Facture (Suite devis)'!$C$41&amp;ROW()-13,T_RecapDevis[Nb occurrence],0)),"")</f>
        <v/>
      </c>
      <c r="D26" s="53">
        <f>IFERROR(INDEX(T_RecapDevis[Quantité],MATCH('Facture (Suite devis)'!$C$41&amp;ROW()-13,T_RecapDevis[Nb occurrence],0)),0)</f>
        <v>0</v>
      </c>
      <c r="E26" s="14" t="str">
        <f>IFERROR(INDEX(T_Produits[PU],MATCH(T_Facture_Devis[[#This Row],[Désignation]],T_Produits[Produits],0)),"")</f>
        <v/>
      </c>
      <c r="F26" s="14" t="str">
        <f>IF(T_Facture_Devis[[#This Row],[Code]]&lt;&gt;"",T_Facture_Devis[[#This Row],[Quantité]]*T_Facture_Devis[[#This Row],[PU]],"")</f>
        <v/>
      </c>
      <c r="G26" s="50" t="str">
        <f>IFERROR(INDEX(T_RecapDevis[TVA],MATCH('Facture (Suite devis)'!$C$41&amp;ROW()-13,T_RecapDevis[Nb occurrence],0)),"")</f>
        <v/>
      </c>
      <c r="K26" s="72"/>
    </row>
    <row r="27" spans="2:12" ht="20.100000000000001" customHeight="1" x14ac:dyDescent="0.4">
      <c r="B27" s="13" t="str">
        <f>IFERROR(INDEX(T_Produits[Code],MATCH(T_Facture_Devis[[#This Row],[Désignation]],T_Produits[Produits],0)),"")</f>
        <v/>
      </c>
      <c r="C27" s="47" t="str">
        <f>IFERROR(INDEX(T_RecapDevis[Désignation],MATCH('Facture (Suite devis)'!$C$41&amp;ROW()-13,T_RecapDevis[Nb occurrence],0)),"")</f>
        <v/>
      </c>
      <c r="D27" s="53">
        <f>IFERROR(INDEX(T_RecapDevis[Quantité],MATCH('Facture (Suite devis)'!$C$41&amp;ROW()-13,T_RecapDevis[Nb occurrence],0)),0)</f>
        <v>0</v>
      </c>
      <c r="E27" s="14" t="str">
        <f>IFERROR(INDEX(T_Produits[PU],MATCH(T_Facture_Devis[[#This Row],[Désignation]],T_Produits[Produits],0)),"")</f>
        <v/>
      </c>
      <c r="F27" s="14" t="str">
        <f>IF(T_Facture_Devis[[#This Row],[Code]]&lt;&gt;"",T_Facture_Devis[[#This Row],[Quantité]]*T_Facture_Devis[[#This Row],[PU]],"")</f>
        <v/>
      </c>
      <c r="G27" s="50" t="str">
        <f>IFERROR(INDEX(T_RecapDevis[TVA],MATCH('Facture (Suite devis)'!$C$41&amp;ROW()-13,T_RecapDevis[Nb occurrence],0)),"")</f>
        <v/>
      </c>
      <c r="K27" s="72"/>
    </row>
    <row r="28" spans="2:12" ht="20.100000000000001" customHeight="1" x14ac:dyDescent="0.4">
      <c r="B28" s="13" t="str">
        <f>IFERROR(INDEX(T_Produits[Code],MATCH(T_Facture_Devis[[#This Row],[Désignation]],T_Produits[Produits],0)),"")</f>
        <v/>
      </c>
      <c r="C28" s="47" t="str">
        <f>IFERROR(INDEX(T_RecapDevis[Désignation],MATCH('Facture (Suite devis)'!$C$41&amp;ROW()-13,T_RecapDevis[Nb occurrence],0)),"")</f>
        <v/>
      </c>
      <c r="D28" s="53">
        <f>IFERROR(INDEX(T_RecapDevis[Quantité],MATCH('Facture (Suite devis)'!$C$41&amp;ROW()-13,T_RecapDevis[Nb occurrence],0)),0)</f>
        <v>0</v>
      </c>
      <c r="E28" s="14" t="str">
        <f>IFERROR(INDEX(T_Produits[PU],MATCH(T_Facture_Devis[[#This Row],[Désignation]],T_Produits[Produits],0)),"")</f>
        <v/>
      </c>
      <c r="F28" s="14" t="str">
        <f>IF(T_Facture_Devis[[#This Row],[Code]]&lt;&gt;"",T_Facture_Devis[[#This Row],[Quantité]]*T_Facture_Devis[[#This Row],[PU]],"")</f>
        <v/>
      </c>
      <c r="G28" s="50" t="str">
        <f>IFERROR(INDEX(T_RecapDevis[TVA],MATCH('Facture (Suite devis)'!$C$41&amp;ROW()-13,T_RecapDevis[Nb occurrence],0)),"")</f>
        <v/>
      </c>
      <c r="K28" s="72"/>
    </row>
    <row r="29" spans="2:12" ht="20.100000000000001" customHeight="1" x14ac:dyDescent="0.4">
      <c r="B29" s="15" t="str">
        <f>IFERROR(INDEX(T_Produits[Code],MATCH(T_Facture_Devis[[#This Row],[Désignation]],T_Produits[Produits],0)),"")</f>
        <v/>
      </c>
      <c r="C29" s="48" t="str">
        <f>IFERROR(INDEX(T_RecapDevis[Désignation],MATCH('Facture (Suite devis)'!$C$41&amp;ROW()-13,T_RecapDevis[Nb occurrence],0)),"")</f>
        <v/>
      </c>
      <c r="D29" s="54">
        <f>IFERROR(INDEX(T_RecapDevis[Quantité],MATCH('Facture (Suite devis)'!$C$41&amp;ROW()-13,T_RecapDevis[Nb occurrence],0)),0)</f>
        <v>0</v>
      </c>
      <c r="E29" s="16" t="str">
        <f>IFERROR(INDEX(T_Produits[PU],MATCH(T_Facture_Devis[[#This Row],[Désignation]],T_Produits[Produits],0)),"")</f>
        <v/>
      </c>
      <c r="F29" s="16" t="str">
        <f>IF(T_Facture_Devis[[#This Row],[Code]]&lt;&gt;"",T_Facture_Devis[[#This Row],[Quantité]]*T_Facture_Devis[[#This Row],[PU]],"")</f>
        <v/>
      </c>
      <c r="G29" s="51" t="str">
        <f>IFERROR(INDEX(T_RecapDevis[TVA],MATCH('Facture (Suite devis)'!$C$41&amp;ROW()-13,T_RecapDevis[Nb occurrence],0)),"")</f>
        <v/>
      </c>
      <c r="K29" s="72"/>
    </row>
    <row r="30" spans="2:12" ht="20.100000000000001" customHeight="1" x14ac:dyDescent="0.4">
      <c r="K30" s="72"/>
    </row>
    <row r="31" spans="2:12" ht="20.100000000000001" customHeight="1" x14ac:dyDescent="0.4">
      <c r="C31" s="30" t="s">
        <v>28</v>
      </c>
      <c r="D31" s="31" t="s">
        <v>29</v>
      </c>
      <c r="E31" s="31" t="s">
        <v>24</v>
      </c>
      <c r="F31" s="32" t="s">
        <v>30</v>
      </c>
      <c r="K31" s="72"/>
    </row>
    <row r="32" spans="2:12" ht="20.100000000000001" customHeight="1" x14ac:dyDescent="0.4">
      <c r="C32" s="29" t="str">
        <f>IF(F36&lt;&gt;"",F36,"")</f>
        <v/>
      </c>
      <c r="D32" s="152" t="str">
        <f>IF(C32&lt;&gt;"",SUMIF(T_Facture_Devis[TVA],C32,T_Facture_Devis[Total]),"")</f>
        <v/>
      </c>
      <c r="E32" s="152" t="str">
        <f>IFERROR(IF(C32&lt;&gt;"",D32*RIGHT(C32,LEN(C32)-4),""),"")</f>
        <v/>
      </c>
      <c r="F32" s="153" t="str">
        <f>IFERROR(D32+E32,"")</f>
        <v/>
      </c>
      <c r="K32" s="72"/>
    </row>
    <row r="33" spans="2:11" ht="20.100000000000001" customHeight="1" x14ac:dyDescent="0.4">
      <c r="C33" s="28" t="str">
        <f>IF(F37&lt;&gt;"",F37,"")</f>
        <v/>
      </c>
      <c r="D33" s="161" t="str">
        <f>IF(C33&lt;&gt;"",SUMIF(T_Facture_Devis[TVA],C33,T_Facture_Devis[Total]),"")</f>
        <v/>
      </c>
      <c r="E33" s="152" t="str">
        <f>IFERROR(IF(C33&lt;&gt;"",D33*RIGHT(C33,LEN(C33)-4),""),"")</f>
        <v/>
      </c>
      <c r="F33" s="154" t="str">
        <f>IFERROR(D33+E33,"")</f>
        <v/>
      </c>
      <c r="K33" s="72"/>
    </row>
    <row r="34" spans="2:11" ht="20.100000000000001" customHeight="1" x14ac:dyDescent="0.4">
      <c r="K34" s="72"/>
    </row>
    <row r="35" spans="2:11" ht="20.100000000000001" customHeight="1" x14ac:dyDescent="0.4">
      <c r="B35" s="201" t="s">
        <v>8</v>
      </c>
      <c r="C35" s="201"/>
      <c r="D35" s="201"/>
      <c r="F35" s="17" t="s">
        <v>5</v>
      </c>
      <c r="G35" s="158">
        <f>SUM(T_Facture_Devis[Total])</f>
        <v>0</v>
      </c>
      <c r="K35" s="72"/>
    </row>
    <row r="36" spans="2:11" ht="20.100000000000001" customHeight="1" x14ac:dyDescent="0.4">
      <c r="B36" s="184" t="str">
        <f>"Acompte de 30% à la commande soit : "&amp;TEXT(G38*30%,"# ##0,00€")</f>
        <v>Acompte de 30% à la commande soit : 0,00€</v>
      </c>
      <c r="C36" s="184"/>
      <c r="D36" s="184"/>
      <c r="F36" s="58" t="str">
        <f t="array" ref="F36">IFERROR(INDEX(T_Facture_Devis[TVA],MATCH(0,COUNTIF($F$35:F35,T_Facture_Devis[TVA]),0)),"")</f>
        <v/>
      </c>
      <c r="G36" s="159" t="str">
        <f>IF(E32&lt;&gt;0,E32,0)</f>
        <v/>
      </c>
      <c r="K36" s="72"/>
    </row>
    <row r="37" spans="2:11" ht="20.100000000000001" customHeight="1" x14ac:dyDescent="0.4">
      <c r="B37" s="184" t="s">
        <v>13</v>
      </c>
      <c r="C37" s="184"/>
      <c r="D37" s="184"/>
      <c r="F37" s="58" t="str">
        <f t="array" ref="F37">IFERROR(INDEX(T_Facture_Devis[TVA],MATCH(0,COUNTIF($F$35:F36,T_Facture_Devis[TVA]),0)),"")</f>
        <v/>
      </c>
      <c r="G37" s="159" t="str">
        <f>IF(E33&lt;&gt;0,E33,0)</f>
        <v/>
      </c>
      <c r="K37" s="72"/>
    </row>
    <row r="38" spans="2:11" ht="20.100000000000001" customHeight="1" x14ac:dyDescent="0.4">
      <c r="B38" s="184" t="str">
        <f>"Paiement comptant à la réception du chantier soit : "&amp;TEXT(G38*70%,"# ##0,00€")</f>
        <v>Paiement comptant à la réception du chantier soit : 0,00€</v>
      </c>
      <c r="C38" s="184"/>
      <c r="D38" s="184"/>
      <c r="F38" s="18" t="s">
        <v>7</v>
      </c>
      <c r="G38" s="160">
        <f>SUM(G35:G37)</f>
        <v>0</v>
      </c>
      <c r="K38" s="72"/>
    </row>
    <row r="39" spans="2:11" ht="20.100000000000001" customHeight="1" x14ac:dyDescent="0.4">
      <c r="B39" s="77"/>
      <c r="C39" s="77"/>
      <c r="D39" s="77"/>
      <c r="F39" s="35"/>
      <c r="G39" s="79"/>
      <c r="K39" s="72"/>
    </row>
    <row r="40" spans="2:11" s="38" customFormat="1" ht="20.100000000000001" customHeight="1" x14ac:dyDescent="0.4">
      <c r="B40" s="215" t="s">
        <v>73</v>
      </c>
      <c r="C40" s="216"/>
      <c r="D40" s="37"/>
      <c r="F40" s="35"/>
      <c r="G40" s="36"/>
    </row>
    <row r="41" spans="2:11" s="38" customFormat="1" ht="20.100000000000001" customHeight="1" x14ac:dyDescent="0.4">
      <c r="B41" s="80" t="s">
        <v>33</v>
      </c>
      <c r="C41" s="41">
        <f>F5</f>
        <v>0</v>
      </c>
      <c r="D41" s="37"/>
      <c r="F41" s="17" t="s">
        <v>31</v>
      </c>
      <c r="G41" s="26">
        <f>IFERROR(INDEX(T_RecapDevis[Acompte versé],MATCH(FacClient,T_RecapDevis[Client],0)),0)</f>
        <v>0</v>
      </c>
    </row>
    <row r="42" spans="2:11" s="38" customFormat="1" ht="20.100000000000001" customHeight="1" x14ac:dyDescent="0.4">
      <c r="B42" s="81" t="s">
        <v>34</v>
      </c>
      <c r="C42" s="70" t="str">
        <f>IFERROR(INDEX(T_RecapDevis[Date],MATCH(FacClient,T_RecapDevis[Client],0)),"")</f>
        <v/>
      </c>
      <c r="D42" s="37"/>
      <c r="F42" s="18" t="s">
        <v>32</v>
      </c>
      <c r="G42" s="27">
        <f>G38-G41</f>
        <v>0</v>
      </c>
    </row>
    <row r="43" spans="2:11" ht="20.100000000000001" customHeight="1" x14ac:dyDescent="0.4">
      <c r="E43" s="19"/>
      <c r="F43" s="186"/>
      <c r="G43" s="186"/>
    </row>
    <row r="44" spans="2:11" ht="20.100000000000001" customHeight="1" x14ac:dyDescent="0.4">
      <c r="B44" s="192" t="s">
        <v>16</v>
      </c>
      <c r="C44" s="193"/>
      <c r="D44" s="21"/>
      <c r="E44" s="203" t="s">
        <v>17</v>
      </c>
      <c r="F44" s="204"/>
      <c r="G44" s="205"/>
    </row>
    <row r="45" spans="2:11" ht="20.100000000000001" customHeight="1" x14ac:dyDescent="0.4">
      <c r="B45" s="194"/>
      <c r="C45" s="195"/>
      <c r="D45" s="21"/>
      <c r="E45" s="206" t="s">
        <v>18</v>
      </c>
      <c r="F45" s="207"/>
      <c r="G45" s="22" t="s">
        <v>19</v>
      </c>
    </row>
    <row r="46" spans="2:11" ht="20.100000000000001" customHeight="1" x14ac:dyDescent="0.4">
      <c r="B46" s="194"/>
      <c r="C46" s="195"/>
      <c r="D46" s="21"/>
      <c r="E46" s="185"/>
      <c r="F46" s="186"/>
      <c r="G46" s="187"/>
    </row>
    <row r="47" spans="2:11" ht="20.100000000000001" customHeight="1" x14ac:dyDescent="0.4">
      <c r="B47" s="194"/>
      <c r="C47" s="195"/>
      <c r="D47" s="21"/>
      <c r="E47" s="185"/>
      <c r="F47" s="186"/>
      <c r="G47" s="187"/>
    </row>
    <row r="48" spans="2:11" ht="20.100000000000001" customHeight="1" x14ac:dyDescent="0.4">
      <c r="B48" s="194"/>
      <c r="C48" s="195"/>
      <c r="D48" s="21"/>
      <c r="E48" s="185"/>
      <c r="F48" s="186"/>
      <c r="G48" s="187"/>
    </row>
    <row r="49" spans="2:7" ht="20.100000000000001" customHeight="1" x14ac:dyDescent="0.4">
      <c r="B49" s="194"/>
      <c r="C49" s="195"/>
      <c r="E49" s="185"/>
      <c r="F49" s="186"/>
      <c r="G49" s="187"/>
    </row>
    <row r="50" spans="2:7" ht="20.100000000000001" customHeight="1" x14ac:dyDescent="0.4">
      <c r="B50" s="196"/>
      <c r="C50" s="197"/>
      <c r="D50" s="23"/>
      <c r="E50" s="188"/>
      <c r="F50" s="189"/>
      <c r="G50" s="190"/>
    </row>
    <row r="52" spans="2:7" ht="15" customHeight="1" x14ac:dyDescent="0.4">
      <c r="B52" s="183" t="s">
        <v>10</v>
      </c>
      <c r="C52" s="183"/>
      <c r="D52" s="183"/>
      <c r="E52" s="183"/>
      <c r="F52" s="183"/>
      <c r="G52" s="183"/>
    </row>
    <row r="53" spans="2:7" ht="15" customHeight="1" x14ac:dyDescent="0.4">
      <c r="B53" s="183" t="s">
        <v>11</v>
      </c>
      <c r="C53" s="183"/>
      <c r="D53" s="183"/>
      <c r="E53" s="183"/>
      <c r="F53" s="183"/>
      <c r="G53" s="183"/>
    </row>
    <row r="54" spans="2:7" ht="15" customHeight="1" x14ac:dyDescent="0.4">
      <c r="B54" s="183" t="s">
        <v>12</v>
      </c>
      <c r="C54" s="183"/>
      <c r="D54" s="183"/>
      <c r="E54" s="183"/>
      <c r="F54" s="183"/>
      <c r="G54" s="183"/>
    </row>
  </sheetData>
  <sheetProtection sheet="1" objects="1" scenarios="1" selectLockedCells="1"/>
  <mergeCells count="24">
    <mergeCell ref="B9:C9"/>
    <mergeCell ref="E9:G9"/>
    <mergeCell ref="B10:C10"/>
    <mergeCell ref="E10:G10"/>
    <mergeCell ref="E11:G11"/>
    <mergeCell ref="B6:C6"/>
    <mergeCell ref="B7:C7"/>
    <mergeCell ref="E7:G7"/>
    <mergeCell ref="B8:C8"/>
    <mergeCell ref="E8:G8"/>
    <mergeCell ref="K12:L12"/>
    <mergeCell ref="B35:D35"/>
    <mergeCell ref="B52:G52"/>
    <mergeCell ref="B53:G53"/>
    <mergeCell ref="B54:G54"/>
    <mergeCell ref="B37:D37"/>
    <mergeCell ref="B38:D38"/>
    <mergeCell ref="F43:G43"/>
    <mergeCell ref="B44:C50"/>
    <mergeCell ref="E44:G44"/>
    <mergeCell ref="E45:F45"/>
    <mergeCell ref="E46:G50"/>
    <mergeCell ref="B36:D36"/>
    <mergeCell ref="B40:C40"/>
  </mergeCells>
  <conditionalFormatting sqref="L13:L17 L19">
    <cfRule type="expression" dxfId="40" priority="1">
      <formula>L13="NOK"</formula>
    </cfRule>
    <cfRule type="expression" dxfId="39" priority="2">
      <formula>L13="OK"</formula>
    </cfRule>
  </conditionalFormatting>
  <dataValidations count="2">
    <dataValidation type="list" errorStyle="information" allowBlank="1" showInputMessage="1" sqref="C14:C29" xr:uid="{307BA9C3-6AFF-453B-8CEA-5A1D9ACB0F8C}">
      <formula1>L_Produits</formula1>
    </dataValidation>
    <dataValidation type="list" allowBlank="1" showInputMessage="1" showErrorMessage="1" sqref="F5" xr:uid="{332AF209-6D0F-487F-A135-0BF7BC2BB62A}">
      <formula1>L_numdev</formula1>
    </dataValidation>
  </dataValidations>
  <printOptions horizontalCentered="1" verticalCentered="1"/>
  <pageMargins left="0" right="0" top="0" bottom="0" header="0" footer="0"/>
  <pageSetup paperSize="9" scale="74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D53F2-A329-4A3B-86D1-26EB7E3709D2}">
  <sheetPr codeName="Feuil4"/>
  <dimension ref="A2:K7"/>
  <sheetViews>
    <sheetView showGridLines="0" workbookViewId="0">
      <selection activeCell="C2" sqref="C2"/>
    </sheetView>
  </sheetViews>
  <sheetFormatPr baseColWidth="10" defaultRowHeight="16.8" outlineLevelRow="1" outlineLevelCol="1" x14ac:dyDescent="0.4"/>
  <cols>
    <col min="2" max="2" width="12" customWidth="1"/>
    <col min="3" max="3" width="27.09765625" bestFit="1" customWidth="1"/>
    <col min="4" max="4" width="13.19921875" customWidth="1"/>
    <col min="6" max="6" width="13.3984375" customWidth="1"/>
    <col min="7" max="7" width="17.8984375" bestFit="1" customWidth="1"/>
    <col min="8" max="8" width="12.09765625" customWidth="1"/>
    <col min="9" max="9" width="12.3984375" customWidth="1"/>
    <col min="10" max="10" width="17.8984375" hidden="1" customWidth="1" outlineLevel="1"/>
    <col min="11" max="11" width="11" collapsed="1"/>
  </cols>
  <sheetData>
    <row r="2" spans="1:11" s="82" customFormat="1" ht="15.9" customHeight="1" x14ac:dyDescent="0.4">
      <c r="C2" s="87" t="s">
        <v>80</v>
      </c>
      <c r="D2" s="213" t="s">
        <v>78</v>
      </c>
      <c r="E2" s="178"/>
      <c r="G2" s="84" t="str">
        <f t="array" aca="1" ref="G2" ca="1">IFERROR(HYPERLINK("#"&amp;ADDRESS(INDIRECT(ADDRESS(4,MATCH(1,(A4:I4&gt;0)*1,0))),MATCH(1,(A4:I4&gt;0)*1,0)),"Chercher facture"),"Chercher facture")</f>
        <v>Chercher facture</v>
      </c>
      <c r="K2" s="85"/>
    </row>
    <row r="4" spans="1:11" hidden="1" outlineLevel="1" x14ac:dyDescent="0.4">
      <c r="A4" s="91" t="e">
        <f>MATCH($D$2,T_Recap_Facture[Date],0)+6</f>
        <v>#N/A</v>
      </c>
      <c r="B4" s="91" t="e">
        <f>MATCH($D$2,T_Recap_Facture[N° Facture],0)+6</f>
        <v>#N/A</v>
      </c>
      <c r="C4" s="91" t="e">
        <f>MATCH($D$2,T_Recap_Facture[Client],0)+6</f>
        <v>#N/A</v>
      </c>
      <c r="D4" s="91" t="e">
        <f>MATCH($D$2,T_Recap_Facture[Désignation],0)+6</f>
        <v>#N/A</v>
      </c>
      <c r="E4" s="91" t="e">
        <f>MATCH($D$2,T_Recap_Facture[Quantité],0)+6</f>
        <v>#N/A</v>
      </c>
      <c r="F4" s="91" t="e">
        <f>MATCH($D$2,T_Recap_Facture[Prix unitaire],0)+6</f>
        <v>#N/A</v>
      </c>
      <c r="G4" s="91" t="e">
        <f>MATCH($D$2,T_Recap_Facture[Total],0)+6</f>
        <v>#N/A</v>
      </c>
      <c r="H4" s="91" t="e">
        <f>MATCH($D$2,T_Recap_Facture[TVA],0)+6</f>
        <v>#N/A</v>
      </c>
      <c r="I4" s="91" t="e">
        <f>MATCH($D$2,T_Recap_Facture[Acompte],0)+6</f>
        <v>#N/A</v>
      </c>
    </row>
    <row r="5" spans="1:11" collapsed="1" x14ac:dyDescent="0.4"/>
    <row r="6" spans="1:11" x14ac:dyDescent="0.4">
      <c r="A6" s="25" t="s">
        <v>21</v>
      </c>
      <c r="B6" s="25" t="s">
        <v>38</v>
      </c>
      <c r="C6" s="25" t="s">
        <v>22</v>
      </c>
      <c r="D6" s="25" t="s">
        <v>1</v>
      </c>
      <c r="E6" s="25" t="s">
        <v>2</v>
      </c>
      <c r="F6" s="25" t="s">
        <v>23</v>
      </c>
      <c r="G6" s="25" t="s">
        <v>4</v>
      </c>
      <c r="H6" s="25" t="s">
        <v>24</v>
      </c>
      <c r="I6" s="25" t="s">
        <v>39</v>
      </c>
      <c r="J6" s="25" t="s">
        <v>63</v>
      </c>
    </row>
    <row r="7" spans="1:11" x14ac:dyDescent="0.4">
      <c r="A7" s="44"/>
      <c r="B7" s="24"/>
      <c r="D7" s="24"/>
      <c r="E7" s="24"/>
      <c r="F7" s="45"/>
      <c r="G7" s="45"/>
      <c r="H7" s="24"/>
      <c r="I7" s="71"/>
      <c r="J7" s="24"/>
    </row>
  </sheetData>
  <mergeCells count="1">
    <mergeCell ref="D2:E2"/>
  </mergeCells>
  <conditionalFormatting sqref="A7:I7">
    <cfRule type="expression" dxfId="27" priority="1">
      <formula>OR($A7=$D$2,$B7=$D$2,$C7=$D$2)</formula>
    </cfRule>
  </conditionalFormatting>
  <dataValidations count="1">
    <dataValidation allowBlank="1" showInputMessage="1" showErrorMessage="1" promptTitle="Recherche sur :" prompt="La date, le n° de devis ou le client._x000a__x000a_Saisir l'élément à rechercher ou un espace pour supprimer la MFC." sqref="D2:E2" xr:uid="{EFBEBF09-3A7F-4E01-B867-C1731BE1B2FF}"/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91C54-93C2-4651-A19D-3110D2B35820}">
  <sheetPr codeName="Feuil00"/>
  <dimension ref="A1:K5"/>
  <sheetViews>
    <sheetView showGridLines="0" workbookViewId="0">
      <selection activeCell="F3" sqref="F3"/>
    </sheetView>
  </sheetViews>
  <sheetFormatPr baseColWidth="10" defaultColWidth="11" defaultRowHeight="16.8" x14ac:dyDescent="0.4"/>
  <cols>
    <col min="1" max="1" width="11" style="1"/>
    <col min="2" max="2" width="4.59765625" style="1" customWidth="1"/>
    <col min="3" max="3" width="11" style="1"/>
    <col min="4" max="4" width="4.59765625" style="1" customWidth="1"/>
    <col min="5" max="5" width="10.59765625" style="1" customWidth="1"/>
    <col min="6" max="6" width="7.09765625" style="1" customWidth="1"/>
    <col min="7" max="7" width="4.59765625" style="1" customWidth="1"/>
    <col min="8" max="8" width="16.59765625" style="1" customWidth="1"/>
    <col min="9" max="9" width="4.59765625" style="1" customWidth="1"/>
    <col min="10" max="10" width="11" style="1" customWidth="1"/>
    <col min="11" max="11" width="22.09765625" style="1" customWidth="1"/>
    <col min="12" max="12" width="4.59765625" style="1" customWidth="1"/>
    <col min="13" max="13" width="19" style="1" bestFit="1" customWidth="1"/>
    <col min="14" max="14" width="12.3984375" style="1" bestFit="1" customWidth="1"/>
    <col min="15" max="16384" width="11" style="1"/>
  </cols>
  <sheetData>
    <row r="1" spans="1:11" s="75" customFormat="1" x14ac:dyDescent="0.4">
      <c r="A1" s="75" t="s">
        <v>24</v>
      </c>
      <c r="C1" s="75" t="s">
        <v>35</v>
      </c>
      <c r="E1" s="75" t="s">
        <v>57</v>
      </c>
      <c r="F1" s="75" t="s">
        <v>60</v>
      </c>
      <c r="H1" s="75" t="s">
        <v>67</v>
      </c>
      <c r="J1" s="75" t="s">
        <v>25</v>
      </c>
      <c r="K1" s="75" t="s">
        <v>22</v>
      </c>
    </row>
    <row r="2" spans="1:11" x14ac:dyDescent="0.4">
      <c r="A2" s="76" t="s">
        <v>26</v>
      </c>
      <c r="C2" s="1" t="s">
        <v>36</v>
      </c>
      <c r="E2" s="1" t="s">
        <v>58</v>
      </c>
      <c r="F2" s="75">
        <v>1</v>
      </c>
      <c r="H2" s="1" t="s">
        <v>71</v>
      </c>
      <c r="J2" s="78"/>
      <c r="K2" s="78"/>
    </row>
    <row r="3" spans="1:11" x14ac:dyDescent="0.4">
      <c r="A3" s="76" t="s">
        <v>27</v>
      </c>
      <c r="C3" s="1" t="s">
        <v>37</v>
      </c>
      <c r="E3" s="1" t="s">
        <v>59</v>
      </c>
      <c r="F3" s="75">
        <v>1</v>
      </c>
      <c r="H3" s="1" t="s">
        <v>68</v>
      </c>
    </row>
    <row r="4" spans="1:11" x14ac:dyDescent="0.4">
      <c r="A4" s="76" t="s">
        <v>6</v>
      </c>
      <c r="H4" s="1" t="s">
        <v>70</v>
      </c>
    </row>
    <row r="5" spans="1:11" x14ac:dyDescent="0.4">
      <c r="H5" s="1" t="s">
        <v>69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7220B7-CE2E-4DF4-9D7F-E3CFDD8CAE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27</vt:i4>
      </vt:variant>
    </vt:vector>
  </HeadingPairs>
  <TitlesOfParts>
    <vt:vector size="36" baseType="lpstr">
      <vt:lpstr>Procédure</vt:lpstr>
      <vt:lpstr>Base client</vt:lpstr>
      <vt:lpstr>Liste produits</vt:lpstr>
      <vt:lpstr>Devis</vt:lpstr>
      <vt:lpstr>Récap devis</vt:lpstr>
      <vt:lpstr>Facture</vt:lpstr>
      <vt:lpstr>Facture (Suite devis)</vt:lpstr>
      <vt:lpstr>Récap facture</vt:lpstr>
      <vt:lpstr>Paramètres</vt:lpstr>
      <vt:lpstr>DevClient</vt:lpstr>
      <vt:lpstr>DevDate</vt:lpstr>
      <vt:lpstr>DevisClient</vt:lpstr>
      <vt:lpstr>DevNum</vt:lpstr>
      <vt:lpstr>'Facture (Suite devis)'!FacClient</vt:lpstr>
      <vt:lpstr>FacClient</vt:lpstr>
      <vt:lpstr>'Facture (Suite devis)'!FacDate</vt:lpstr>
      <vt:lpstr>FacDate</vt:lpstr>
      <vt:lpstr>'Facture (Suite devis)'!FacNum</vt:lpstr>
      <vt:lpstr>FacNum</vt:lpstr>
      <vt:lpstr>'Facture (Suite devis)'!L_Civilite</vt:lpstr>
      <vt:lpstr>L_Civilite</vt:lpstr>
      <vt:lpstr>'Facture (Suite devis)'!L_Clients</vt:lpstr>
      <vt:lpstr>L_Clients</vt:lpstr>
      <vt:lpstr>L_numdev</vt:lpstr>
      <vt:lpstr>'Facture (Suite devis)'!L_Produits</vt:lpstr>
      <vt:lpstr>L_Produits</vt:lpstr>
      <vt:lpstr>'Facture (Suite devis)'!L_Reglement</vt:lpstr>
      <vt:lpstr>L_Reglement</vt:lpstr>
      <vt:lpstr>Facture!L_TVA</vt:lpstr>
      <vt:lpstr>'Facture (Suite devis)'!L_TVA</vt:lpstr>
      <vt:lpstr>L_TVA</vt:lpstr>
      <vt:lpstr>NumDevis</vt:lpstr>
      <vt:lpstr>NumFac</vt:lpstr>
      <vt:lpstr>Devis!Zone_d_impression</vt:lpstr>
      <vt:lpstr>Facture!Zone_d_impression</vt:lpstr>
      <vt:lpstr>'Facture (Suite devis)'!Zone_d_impression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devis et facturation</dc:title>
  <dc:creator>Zébulon</dc:creator>
  <cp:lastModifiedBy>Damaste .</cp:lastModifiedBy>
  <cp:lastPrinted>2020-04-28T13:46:01Z</cp:lastPrinted>
  <dcterms:created xsi:type="dcterms:W3CDTF">2019-12-27T00:23:15Z</dcterms:created>
  <dcterms:modified xsi:type="dcterms:W3CDTF">2020-10-04T23:43:48Z</dcterms:modified>
</cp:coreProperties>
</file>