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OneDrive\Formation Excel\Test\"/>
    </mc:Choice>
  </mc:AlternateContent>
  <xr:revisionPtr revIDLastSave="31" documentId="13_ncr:1_{2AE17A78-65B3-4177-81CD-F9FF6F3C6E4B}" xr6:coauthVersionLast="41" xr6:coauthVersionMax="41" xr10:uidLastSave="{7695E5AF-8774-477A-9BB3-AE3E5A6C09DB}"/>
  <bookViews>
    <workbookView xWindow="-120" yWindow="-120" windowWidth="29040" windowHeight="15840" activeTab="5" xr2:uid="{051311D5-6B63-40C7-A3EE-8EF37A6A0964}"/>
  </bookViews>
  <sheets>
    <sheet name="Liste adhérents" sheetId="4" r:id="rId1"/>
    <sheet name="Planning" sheetId="5" r:id="rId2"/>
    <sheet name="Facture" sheetId="2" r:id="rId3"/>
    <sheet name="Récap facture" sheetId="6" r:id="rId4"/>
    <sheet name="Réédition facture" sheetId="7" r:id="rId5"/>
    <sheet name="Paramètres" sheetId="3" r:id="rId6"/>
  </sheets>
  <definedNames>
    <definedName name="L_A_Facturer">OFFSET('Liste adhérents'!$S$3,0,0,COUNT('Liste adhérents'!$R:$R))</definedName>
    <definedName name="L_Garderie">T_Garderie[Code]</definedName>
    <definedName name="L_Nom">T_BdD[Nom]</definedName>
    <definedName name="L_Péricentre">#REF!</definedName>
    <definedName name="L_periode">Paramètres!$C$2:$F$2</definedName>
    <definedName name="L_Prestations">T_Prestations[Prestations]</definedName>
    <definedName name="Péricentre">Tableau6[[#Headers],[Camp à l''Herberie Pouancé]:[Camp Sportif à Rougé]]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7" l="1"/>
  <c r="M7" i="4" l="1"/>
  <c r="Q7" i="4"/>
  <c r="M3" i="4"/>
  <c r="M4" i="4"/>
  <c r="M5" i="4"/>
  <c r="M6" i="4"/>
  <c r="C2" i="7" l="1"/>
  <c r="C17" i="7" s="1"/>
  <c r="C52" i="7"/>
  <c r="C25" i="7"/>
  <c r="C26" i="7" s="1"/>
  <c r="C27" i="7" s="1"/>
  <c r="C28" i="7" s="1"/>
  <c r="C30" i="7" s="1"/>
  <c r="E20" i="7" l="1"/>
  <c r="C5" i="7"/>
  <c r="C13" i="7"/>
  <c r="D28" i="7"/>
  <c r="E28" i="7" s="1"/>
  <c r="D52" i="7"/>
  <c r="C7" i="7"/>
  <c r="C14" i="7"/>
  <c r="D32" i="7"/>
  <c r="C8" i="7"/>
  <c r="D34" i="7"/>
  <c r="E34" i="7" s="1"/>
  <c r="C12" i="7"/>
  <c r="D25" i="7"/>
  <c r="E25" i="7" s="1"/>
  <c r="D37" i="7"/>
  <c r="E37" i="7" s="1"/>
  <c r="D53" i="7"/>
  <c r="E53" i="7" s="1"/>
  <c r="C4" i="7"/>
  <c r="C9" i="7"/>
  <c r="D24" i="7"/>
  <c r="D30" i="7"/>
  <c r="D38" i="7"/>
  <c r="E38" i="7" s="1"/>
  <c r="B20" i="7"/>
  <c r="C20" i="7" s="1"/>
  <c r="C6" i="7"/>
  <c r="C10" i="7"/>
  <c r="D27" i="7"/>
  <c r="E27" i="7" s="1"/>
  <c r="D33" i="7"/>
  <c r="E33" i="7" s="1"/>
  <c r="D39" i="7"/>
  <c r="E39" i="7" s="1"/>
  <c r="B24" i="7"/>
  <c r="B40" i="7" s="1"/>
  <c r="D26" i="7"/>
  <c r="E26" i="7" s="1"/>
  <c r="D31" i="7"/>
  <c r="D36" i="7"/>
  <c r="D40" i="7"/>
  <c r="E40" i="7" s="1"/>
  <c r="B52" i="7"/>
  <c r="B54" i="7" s="1"/>
  <c r="D54" i="7"/>
  <c r="C16" i="7"/>
  <c r="C31" i="7"/>
  <c r="C32" i="7" s="1"/>
  <c r="C33" i="7" s="1"/>
  <c r="C34" i="7" s="1"/>
  <c r="C36" i="7" s="1"/>
  <c r="C53" i="7"/>
  <c r="D54" i="2"/>
  <c r="D53" i="2"/>
  <c r="E53" i="2" s="1"/>
  <c r="D52" i="2"/>
  <c r="B52" i="2"/>
  <c r="B24" i="2"/>
  <c r="D40" i="2"/>
  <c r="E40" i="2" s="1"/>
  <c r="D39" i="2"/>
  <c r="E39" i="2" s="1"/>
  <c r="D38" i="2"/>
  <c r="E38" i="2" s="1"/>
  <c r="D37" i="2"/>
  <c r="E37" i="2" s="1"/>
  <c r="D36" i="2"/>
  <c r="D34" i="2"/>
  <c r="E34" i="2" s="1"/>
  <c r="D33" i="2"/>
  <c r="E33" i="2" s="1"/>
  <c r="D32" i="2"/>
  <c r="D31" i="2"/>
  <c r="D30" i="2"/>
  <c r="D28" i="2"/>
  <c r="E28" i="2" s="1"/>
  <c r="D27" i="2"/>
  <c r="E27" i="2" s="1"/>
  <c r="D26" i="2"/>
  <c r="E26" i="2" s="1"/>
  <c r="D25" i="2"/>
  <c r="E25" i="2" s="1"/>
  <c r="D24" i="2"/>
  <c r="B20" i="2"/>
  <c r="C20" i="2" s="1"/>
  <c r="C14" i="2"/>
  <c r="C13" i="2"/>
  <c r="C12" i="2"/>
  <c r="C10" i="2"/>
  <c r="C6" i="2"/>
  <c r="C9" i="2"/>
  <c r="C8" i="2"/>
  <c r="C7" i="2"/>
  <c r="C5" i="2"/>
  <c r="C4" i="2"/>
  <c r="C3" i="2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E31" i="7" l="1"/>
  <c r="E32" i="7"/>
  <c r="F21" i="3"/>
  <c r="F10" i="3"/>
  <c r="E10" i="3"/>
  <c r="D21" i="3"/>
  <c r="C21" i="3"/>
  <c r="E54" i="7"/>
  <c r="E52" i="7"/>
  <c r="E30" i="7"/>
  <c r="E24" i="7"/>
  <c r="E36" i="7"/>
  <c r="B28" i="7"/>
  <c r="B36" i="7"/>
  <c r="B32" i="7"/>
  <c r="B38" i="7"/>
  <c r="B33" i="7"/>
  <c r="B27" i="7"/>
  <c r="B26" i="7"/>
  <c r="B37" i="7"/>
  <c r="B31" i="7"/>
  <c r="B53" i="7"/>
  <c r="B39" i="7"/>
  <c r="B34" i="7"/>
  <c r="B30" i="7"/>
  <c r="B25" i="7"/>
  <c r="C37" i="7"/>
  <c r="C38" i="7" s="1"/>
  <c r="C39" i="7" s="1"/>
  <c r="C40" i="7" s="1"/>
  <c r="C54" i="7"/>
  <c r="Q3" i="4"/>
  <c r="R3" i="4" s="1"/>
  <c r="Q4" i="4"/>
  <c r="Q5" i="4"/>
  <c r="Q6" i="4"/>
  <c r="R4" i="4" l="1"/>
  <c r="C16" i="2"/>
  <c r="R5" i="4" l="1"/>
  <c r="R6" i="4" s="1"/>
  <c r="R7" i="4" s="1"/>
  <c r="C17" i="2"/>
  <c r="S3" i="4" l="1"/>
  <c r="S7" i="4"/>
  <c r="S5" i="4"/>
  <c r="S6" i="4"/>
  <c r="AS4" i="5"/>
  <c r="AT4" i="5"/>
  <c r="AU4" i="5"/>
  <c r="AS5" i="5"/>
  <c r="AT5" i="5"/>
  <c r="AU5" i="5"/>
  <c r="AS6" i="5"/>
  <c r="AT6" i="5"/>
  <c r="AU6" i="5"/>
  <c r="AS7" i="5"/>
  <c r="AT7" i="5"/>
  <c r="AU7" i="5"/>
  <c r="AS8" i="5"/>
  <c r="AT8" i="5"/>
  <c r="AU8" i="5"/>
  <c r="AS9" i="5"/>
  <c r="AT9" i="5"/>
  <c r="AU9" i="5"/>
  <c r="AS10" i="5"/>
  <c r="AT10" i="5"/>
  <c r="AU10" i="5"/>
  <c r="AS11" i="5"/>
  <c r="AT11" i="5"/>
  <c r="AU11" i="5"/>
  <c r="AS12" i="5"/>
  <c r="AT12" i="5"/>
  <c r="AU12" i="5"/>
  <c r="AS13" i="5"/>
  <c r="AT13" i="5"/>
  <c r="AU13" i="5"/>
  <c r="AS14" i="5"/>
  <c r="AT14" i="5"/>
  <c r="AU14" i="5"/>
  <c r="AS15" i="5"/>
  <c r="AT15" i="5"/>
  <c r="AU15" i="5"/>
  <c r="AS16" i="5"/>
  <c r="AT16" i="5"/>
  <c r="AU16" i="5"/>
  <c r="AS17" i="5"/>
  <c r="AT17" i="5"/>
  <c r="AU17" i="5"/>
  <c r="AS18" i="5"/>
  <c r="AT18" i="5"/>
  <c r="AU18" i="5"/>
  <c r="AS19" i="5"/>
  <c r="AT19" i="5"/>
  <c r="AU19" i="5"/>
  <c r="AS20" i="5"/>
  <c r="AT20" i="5"/>
  <c r="AU20" i="5"/>
  <c r="AS21" i="5"/>
  <c r="AT21" i="5"/>
  <c r="AU21" i="5"/>
  <c r="AS22" i="5"/>
  <c r="AT22" i="5"/>
  <c r="AU22" i="5"/>
  <c r="AS23" i="5"/>
  <c r="AT23" i="5"/>
  <c r="AU23" i="5"/>
  <c r="AS24" i="5"/>
  <c r="AT24" i="5"/>
  <c r="AU24" i="5"/>
  <c r="AS25" i="5"/>
  <c r="AT25" i="5"/>
  <c r="AU25" i="5"/>
  <c r="AS26" i="5"/>
  <c r="AT26" i="5"/>
  <c r="AU26" i="5"/>
  <c r="AS27" i="5"/>
  <c r="AT27" i="5"/>
  <c r="AU27" i="5"/>
  <c r="AS28" i="5"/>
  <c r="AT28" i="5"/>
  <c r="AU28" i="5"/>
  <c r="AS29" i="5"/>
  <c r="AT29" i="5"/>
  <c r="AU29" i="5"/>
  <c r="AS30" i="5"/>
  <c r="AT30" i="5"/>
  <c r="AU30" i="5"/>
  <c r="AS31" i="5"/>
  <c r="AT31" i="5"/>
  <c r="AU31" i="5"/>
  <c r="AS32" i="5"/>
  <c r="AT32" i="5"/>
  <c r="AU32" i="5"/>
  <c r="AS33" i="5"/>
  <c r="AT33" i="5"/>
  <c r="AU33" i="5"/>
  <c r="AS34" i="5"/>
  <c r="AT34" i="5"/>
  <c r="AU34" i="5"/>
  <c r="AS35" i="5"/>
  <c r="AT35" i="5"/>
  <c r="AU35" i="5"/>
  <c r="AS36" i="5"/>
  <c r="AT36" i="5"/>
  <c r="AU36" i="5"/>
  <c r="AS37" i="5"/>
  <c r="AT37" i="5"/>
  <c r="AU37" i="5"/>
  <c r="AS38" i="5"/>
  <c r="AT38" i="5"/>
  <c r="AU38" i="5"/>
  <c r="AS39" i="5"/>
  <c r="AT39" i="5"/>
  <c r="AU39" i="5"/>
  <c r="AS40" i="5"/>
  <c r="AT40" i="5"/>
  <c r="AU40" i="5"/>
  <c r="AS41" i="5"/>
  <c r="AT41" i="5"/>
  <c r="AU41" i="5"/>
  <c r="AS42" i="5"/>
  <c r="AT42" i="5"/>
  <c r="AU42" i="5"/>
  <c r="AS43" i="5"/>
  <c r="AT43" i="5"/>
  <c r="AU43" i="5"/>
  <c r="AS44" i="5"/>
  <c r="AT44" i="5"/>
  <c r="AU44" i="5"/>
  <c r="AS45" i="5"/>
  <c r="AT45" i="5"/>
  <c r="AU45" i="5"/>
  <c r="AS46" i="5"/>
  <c r="AT46" i="5"/>
  <c r="AU46" i="5"/>
  <c r="AS47" i="5"/>
  <c r="AT47" i="5"/>
  <c r="AU47" i="5"/>
  <c r="AS48" i="5"/>
  <c r="AT48" i="5"/>
  <c r="AU48" i="5"/>
  <c r="AS49" i="5"/>
  <c r="AT49" i="5"/>
  <c r="AU49" i="5"/>
  <c r="AS50" i="5"/>
  <c r="AT50" i="5"/>
  <c r="AU50" i="5"/>
  <c r="AU3" i="5"/>
  <c r="D47" i="7" s="1"/>
  <c r="E47" i="7" s="1"/>
  <c r="AT3" i="5"/>
  <c r="D46" i="7" s="1"/>
  <c r="E46" i="7" s="1"/>
  <c r="AS3" i="5"/>
  <c r="D45" i="7" s="1"/>
  <c r="E45" i="7" s="1"/>
  <c r="AA2" i="5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D47" i="2" l="1"/>
  <c r="E47" i="2" s="1"/>
  <c r="D45" i="2"/>
  <c r="E45" i="2" s="1"/>
  <c r="S4" i="4"/>
  <c r="D46" i="2"/>
  <c r="E46" i="2" s="1"/>
  <c r="B27" i="2"/>
  <c r="B32" i="2"/>
  <c r="B40" i="2"/>
  <c r="B37" i="2"/>
  <c r="B26" i="2"/>
  <c r="B33" i="2"/>
  <c r="B38" i="2"/>
  <c r="B25" i="2"/>
  <c r="B30" i="2"/>
  <c r="B34" i="2"/>
  <c r="B39" i="2"/>
  <c r="B28" i="2"/>
  <c r="B31" i="2"/>
  <c r="B36" i="2"/>
  <c r="F2" i="5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D31" i="3" l="1"/>
  <c r="D39" i="3" s="1"/>
  <c r="C31" i="3"/>
  <c r="C39" i="3" l="1"/>
  <c r="B54" i="2"/>
  <c r="B53" i="2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3" i="5"/>
  <c r="C25" i="2" l="1"/>
  <c r="C26" i="2" s="1"/>
  <c r="C27" i="2" s="1"/>
  <c r="C28" i="2" s="1"/>
  <c r="C30" i="2" s="1"/>
  <c r="C31" i="2" s="1"/>
  <c r="C32" i="2" s="1"/>
  <c r="C33" i="2" s="1"/>
  <c r="C34" i="2" s="1"/>
  <c r="C36" i="2" s="1"/>
  <c r="C37" i="2" s="1"/>
  <c r="C38" i="2" s="1"/>
  <c r="C39" i="2" s="1"/>
  <c r="C40" i="2" s="1"/>
  <c r="C52" i="2" l="1"/>
  <c r="B10" i="3"/>
  <c r="D10" i="3" s="1"/>
  <c r="C10" i="3" l="1"/>
  <c r="G10" i="3" s="1"/>
  <c r="B21" i="3"/>
  <c r="E21" i="3" s="1"/>
  <c r="C53" i="2"/>
  <c r="B40" i="3" l="1"/>
  <c r="B29" i="3"/>
  <c r="C54" i="2"/>
  <c r="C29" i="3" l="1"/>
  <c r="D29" i="3"/>
  <c r="G21" i="3"/>
  <c r="B36" i="3"/>
  <c r="D36" i="3" l="1"/>
  <c r="D40" i="3" s="1"/>
  <c r="C36" i="3"/>
  <c r="C40" i="3" s="1"/>
  <c r="E30" i="2" s="1"/>
  <c r="E20" i="2"/>
  <c r="E24" i="2" l="1"/>
  <c r="E31" i="2"/>
  <c r="E32" i="2"/>
  <c r="E54" i="2"/>
  <c r="E52" i="2"/>
  <c r="E36" i="2"/>
  <c r="E57" i="7" l="1"/>
  <c r="E57" i="2"/>
</calcChain>
</file>

<file path=xl/sharedStrings.xml><?xml version="1.0" encoding="utf-8"?>
<sst xmlns="http://schemas.openxmlformats.org/spreadsheetml/2006/main" count="243" uniqueCount="115">
  <si>
    <t>ADHERENTS</t>
  </si>
  <si>
    <t xml:space="preserve">Journée avec repas </t>
  </si>
  <si>
    <t>Forfait semaine avec repas</t>
  </si>
  <si>
    <t>NON ADHERENTS</t>
  </si>
  <si>
    <t>Nom</t>
  </si>
  <si>
    <t>Prénom</t>
  </si>
  <si>
    <t>Quotient familial</t>
  </si>
  <si>
    <t>Adresse mail</t>
  </si>
  <si>
    <t>Age</t>
  </si>
  <si>
    <t>Camp à l'Herberie Pouancé</t>
  </si>
  <si>
    <t>du 18 au 19 juillet</t>
  </si>
  <si>
    <t>Camp Craon</t>
  </si>
  <si>
    <t>du 15 au 17 juillet</t>
  </si>
  <si>
    <t>Camp Multi activité en Anjou - Ponts de cé</t>
  </si>
  <si>
    <t>du 22 au 25 juillet</t>
  </si>
  <si>
    <t>Camp Sportif à Rougé</t>
  </si>
  <si>
    <t>du 8 au 12 juillet</t>
  </si>
  <si>
    <t>Période</t>
  </si>
  <si>
    <t>Coût</t>
  </si>
  <si>
    <t>QF</t>
  </si>
  <si>
    <t>Adhérent</t>
  </si>
  <si>
    <t>Présence</t>
  </si>
  <si>
    <t>Prestations</t>
  </si>
  <si>
    <t>Contact</t>
  </si>
  <si>
    <t>Lien avec l'enfant</t>
  </si>
  <si>
    <t>Téléphone</t>
  </si>
  <si>
    <t xml:space="preserve">Lieu, le </t>
  </si>
  <si>
    <t>08/07/2019</t>
  </si>
  <si>
    <t>Nb prestations</t>
  </si>
  <si>
    <t>Potter</t>
  </si>
  <si>
    <t>Harrry</t>
  </si>
  <si>
    <t>Albus Dumbledore</t>
  </si>
  <si>
    <t>Tuteur</t>
  </si>
  <si>
    <t>Oui</t>
  </si>
  <si>
    <t>Pan</t>
  </si>
  <si>
    <t>Peter</t>
  </si>
  <si>
    <t>J M Barrie</t>
  </si>
  <si>
    <t>Père</t>
  </si>
  <si>
    <t>09 08 07 06 05</t>
  </si>
  <si>
    <t>Non</t>
  </si>
  <si>
    <t>Centre</t>
  </si>
  <si>
    <t>McCallister</t>
  </si>
  <si>
    <t>Kévin</t>
  </si>
  <si>
    <t xml:space="preserve">Kate McCallister </t>
  </si>
  <si>
    <t>Mère</t>
  </si>
  <si>
    <t>Brown</t>
  </si>
  <si>
    <t>Charlie</t>
  </si>
  <si>
    <t>Cbrown@orange.com</t>
  </si>
  <si>
    <t>ppan@gmail.com</t>
  </si>
  <si>
    <t>kmcc@yahoo.com</t>
  </si>
  <si>
    <t>Charles M. Schulz</t>
  </si>
  <si>
    <t>Semaine 28</t>
  </si>
  <si>
    <t>Semaine 29</t>
  </si>
  <si>
    <t>Semaine 30</t>
  </si>
  <si>
    <t>Camp</t>
  </si>
  <si>
    <t>Insérer logo</t>
  </si>
  <si>
    <t>Adresse</t>
  </si>
  <si>
    <t>Code postal</t>
  </si>
  <si>
    <t>Ville</t>
  </si>
  <si>
    <t>Code postal - Ville</t>
  </si>
  <si>
    <t>4, Privet Drive</t>
  </si>
  <si>
    <t>Little Whinging</t>
  </si>
  <si>
    <t>rue des enfants perdus</t>
  </si>
  <si>
    <t>Neverland</t>
  </si>
  <si>
    <t>Winnetka</t>
  </si>
  <si>
    <t>avenue Lincoln</t>
  </si>
  <si>
    <t>Allée des bds</t>
  </si>
  <si>
    <t>Angoulême</t>
  </si>
  <si>
    <t>Téléphone2</t>
  </si>
  <si>
    <t>Téléphone contact</t>
  </si>
  <si>
    <t>Coût à prendre en compte</t>
  </si>
  <si>
    <t>Garderie</t>
  </si>
  <si>
    <t>M</t>
  </si>
  <si>
    <t>S</t>
  </si>
  <si>
    <t>M+S</t>
  </si>
  <si>
    <t>Code</t>
  </si>
  <si>
    <t>Nb S</t>
  </si>
  <si>
    <t>Nb M + S</t>
  </si>
  <si>
    <t>Gard. M</t>
  </si>
  <si>
    <t>Prestation centre</t>
  </si>
  <si>
    <t>Garderie matin</t>
  </si>
  <si>
    <t>Garderie soir</t>
  </si>
  <si>
    <t>Garderie matin &amp; soir</t>
  </si>
  <si>
    <t xml:space="preserve">Total  </t>
  </si>
  <si>
    <t>Centre à la journée</t>
  </si>
  <si>
    <t>Nombre</t>
  </si>
  <si>
    <t>Coût à la journée</t>
  </si>
  <si>
    <t xml:space="preserve">Facture n° </t>
  </si>
  <si>
    <t>N° Facture</t>
  </si>
  <si>
    <t>Date</t>
  </si>
  <si>
    <t>Centre journée</t>
  </si>
  <si>
    <t>Centre semaine</t>
  </si>
  <si>
    <t>Total</t>
  </si>
  <si>
    <t>hpotter@gmail,com</t>
  </si>
  <si>
    <t>Facture</t>
  </si>
  <si>
    <t>Association XXXXXXXX</t>
  </si>
  <si>
    <t>rue je ne sais pas</t>
  </si>
  <si>
    <t>99999 LA BAS</t>
  </si>
  <si>
    <t>Tél : 01 02 03 04 05</t>
  </si>
  <si>
    <t>TVA non applicable, art. 293B du CGI</t>
  </si>
  <si>
    <t>Rééditer une facture</t>
  </si>
  <si>
    <t>Réédition d'une facture</t>
  </si>
  <si>
    <t>Date de naissance</t>
  </si>
  <si>
    <t>N° d'allocataire</t>
  </si>
  <si>
    <t>A facturer</t>
  </si>
  <si>
    <t>Compteur</t>
  </si>
  <si>
    <t>Connors</t>
  </si>
  <si>
    <t>Sarah</t>
  </si>
  <si>
    <t>1 allée du Roy</t>
  </si>
  <si>
    <t>Toulouse</t>
  </si>
  <si>
    <t>sconnors@free.fr</t>
  </si>
  <si>
    <t>Arnold</t>
  </si>
  <si>
    <t>Parrain</t>
  </si>
  <si>
    <t>06 03 05 07 01</t>
  </si>
  <si>
    <t>Journée &amp; Forfait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</si>
</sst>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[$-F800]dddd\,\ mmmm\ dd\,\ yyyy"/>
    <numFmt numFmtId="166" formatCode="0#&quot; &quot;##&quot; &quot;##&quot; &quot;##&quot; &quot;##"/>
    <numFmt numFmtId="167" formatCode="0&quot; ans&quot;"/>
    <numFmt numFmtId="168" formatCode="00000"/>
    <numFmt numFmtId="169" formatCode="[$-40C]d\ mmmm\ yyyy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sz val="8"/>
      <color rgb="FF000000"/>
      <name val="Segoe UI"/>
      <family val="2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8" tint="0.39997558519241921"/>
      <name val="Calibri"/>
      <family val="2"/>
      <scheme val="minor"/>
    </font>
    <font>
      <sz val="12"/>
      <color theme="8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/>
      <top style="thin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/>
      <diagonal/>
    </border>
    <border>
      <left style="thin">
        <color theme="1"/>
      </left>
      <right/>
      <top style="hair">
        <color theme="1"/>
      </top>
      <bottom/>
      <diagonal/>
    </border>
    <border>
      <left/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/>
      <top style="hair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theme="8" tint="0.59996337778862885"/>
      </left>
      <right/>
      <top style="thin">
        <color rgb="FF002060"/>
      </top>
      <bottom/>
      <diagonal/>
    </border>
    <border>
      <left style="thin">
        <color rgb="FF002060"/>
      </left>
      <right/>
      <top style="thin">
        <color theme="8" tint="0.59996337778862885"/>
      </top>
      <bottom/>
      <diagonal/>
    </border>
    <border>
      <left style="thin">
        <color theme="8" tint="0.59996337778862885"/>
      </left>
      <right/>
      <top style="thin">
        <color theme="8" tint="0.59996337778862885"/>
      </top>
      <bottom/>
      <diagonal/>
    </border>
    <border>
      <left style="thin">
        <color rgb="FF002060"/>
      </left>
      <right/>
      <top style="hair">
        <color theme="8" tint="0.59996337778862885"/>
      </top>
      <bottom/>
      <diagonal/>
    </border>
    <border>
      <left style="thin">
        <color theme="8" tint="0.59996337778862885"/>
      </left>
      <right/>
      <top style="hair">
        <color theme="8" tint="0.59996337778862885"/>
      </top>
      <bottom/>
      <diagonal/>
    </border>
    <border>
      <left style="thin">
        <color rgb="FF002060"/>
      </left>
      <right/>
      <top style="hair">
        <color theme="8" tint="0.59996337778862885"/>
      </top>
      <bottom style="thin">
        <color rgb="FF002060"/>
      </bottom>
      <diagonal/>
    </border>
    <border>
      <left style="thin">
        <color theme="8" tint="0.59996337778862885"/>
      </left>
      <right/>
      <top style="hair">
        <color theme="8" tint="0.59996337778862885"/>
      </top>
      <bottom style="thin">
        <color rgb="FF002060"/>
      </bottom>
      <diagonal/>
    </border>
    <border>
      <left style="thin">
        <color theme="8" tint="0.59996337778862885"/>
      </left>
      <right/>
      <top style="hair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hair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/>
      <top style="thin">
        <color theme="8" tint="0.59996337778862885"/>
      </top>
      <bottom style="thin">
        <color auto="1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auto="1"/>
      </bottom>
      <diagonal/>
    </border>
    <border>
      <left style="double">
        <color rgb="FF002060"/>
      </left>
      <right/>
      <top style="thin">
        <color rgb="FF002060"/>
      </top>
      <bottom/>
      <diagonal/>
    </border>
    <border>
      <left style="thin">
        <color theme="8" tint="0.59996337778862885"/>
      </left>
      <right style="double">
        <color rgb="FF002060"/>
      </right>
      <top style="thin">
        <color rgb="FF002060"/>
      </top>
      <bottom/>
      <diagonal/>
    </border>
    <border>
      <left style="double">
        <color rgb="FF002060"/>
      </left>
      <right/>
      <top style="thin">
        <color theme="8" tint="0.59996337778862885"/>
      </top>
      <bottom/>
      <diagonal/>
    </border>
    <border>
      <left style="thin">
        <color theme="8" tint="0.59996337778862885"/>
      </left>
      <right style="double">
        <color rgb="FF002060"/>
      </right>
      <top style="thin">
        <color theme="8" tint="0.59996337778862885"/>
      </top>
      <bottom/>
      <diagonal/>
    </border>
    <border>
      <left style="double">
        <color rgb="FF002060"/>
      </left>
      <right/>
      <top style="hair">
        <color theme="8" tint="0.59996337778862885"/>
      </top>
      <bottom/>
      <diagonal/>
    </border>
    <border>
      <left style="thin">
        <color theme="8" tint="0.59996337778862885"/>
      </left>
      <right style="double">
        <color rgb="FF002060"/>
      </right>
      <top style="hair">
        <color theme="8" tint="0.59996337778862885"/>
      </top>
      <bottom/>
      <diagonal/>
    </border>
    <border>
      <left style="double">
        <color rgb="FF002060"/>
      </left>
      <right/>
      <top style="hair">
        <color theme="8" tint="0.59996337778862885"/>
      </top>
      <bottom style="thin">
        <color rgb="FF002060"/>
      </bottom>
      <diagonal/>
    </border>
    <border>
      <left style="thin">
        <color theme="8" tint="0.59996337778862885"/>
      </left>
      <right style="double">
        <color rgb="FF002060"/>
      </right>
      <top style="hair">
        <color theme="8" tint="0.59996337778862885"/>
      </top>
      <bottom style="thin">
        <color rgb="FF002060"/>
      </bottom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/>
      <top style="hair">
        <color theme="8" tint="0.59996337778862885"/>
      </top>
      <bottom style="thin">
        <color theme="8" tint="0.59996337778862885"/>
      </bottom>
      <diagonal/>
    </border>
    <border>
      <left style="double">
        <color rgb="FF002060"/>
      </left>
      <right/>
      <top style="thin">
        <color theme="8" tint="0.59996337778862885"/>
      </top>
      <bottom style="thin">
        <color auto="1"/>
      </bottom>
      <diagonal/>
    </border>
    <border>
      <left style="thin">
        <color theme="8" tint="0.59996337778862885"/>
      </left>
      <right style="double">
        <color rgb="FF002060"/>
      </right>
      <top style="thin">
        <color theme="8" tint="0.59996337778862885"/>
      </top>
      <bottom style="thin">
        <color auto="1"/>
      </bottom>
      <diagonal/>
    </border>
    <border>
      <left/>
      <right style="thin">
        <color rgb="FF002060"/>
      </right>
      <top style="thin">
        <color rgb="FF002060"/>
      </top>
      <bottom/>
      <diagonal/>
    </border>
    <border>
      <left/>
      <right style="thin">
        <color rgb="FF002060"/>
      </right>
      <top style="thin">
        <color theme="8" tint="0.59996337778862885"/>
      </top>
      <bottom/>
      <diagonal/>
    </border>
    <border>
      <left/>
      <right style="thin">
        <color rgb="FF002060"/>
      </right>
      <top style="hair">
        <color theme="8" tint="0.59996337778862885"/>
      </top>
      <bottom/>
      <diagonal/>
    </border>
    <border>
      <left/>
      <right style="thin">
        <color rgb="FF002060"/>
      </right>
      <top style="hair">
        <color theme="8" tint="0.59996337778862885"/>
      </top>
      <bottom style="thin">
        <color rgb="FF00206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5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7" xfId="0" applyFont="1" applyFill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4" fontId="0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0" fontId="3" fillId="3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164" fontId="2" fillId="0" borderId="16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166" fontId="2" fillId="2" borderId="0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65" fontId="2" fillId="0" borderId="5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/>
    <xf numFmtId="166" fontId="2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67" fontId="2" fillId="0" borderId="0" xfId="0" applyNumberFormat="1" applyFont="1" applyFill="1" applyBorder="1" applyAlignment="1">
      <alignment horizontal="center" vertical="center" wrapText="1"/>
    </xf>
    <xf numFmtId="167" fontId="2" fillId="2" borderId="0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/>
    <xf numFmtId="166" fontId="2" fillId="0" borderId="0" xfId="0" applyNumberFormat="1" applyFont="1" applyFill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 wrapText="1"/>
    </xf>
    <xf numFmtId="0" fontId="4" fillId="0" borderId="0" xfId="1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25" xfId="0" applyFont="1" applyBorder="1" applyAlignment="1">
      <alignment horizontal="center" vertical="center"/>
    </xf>
    <xf numFmtId="164" fontId="0" fillId="0" borderId="26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164" fontId="0" fillId="0" borderId="28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26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" xfId="0" applyBorder="1" applyAlignment="1">
      <alignment horizontal="center"/>
    </xf>
    <xf numFmtId="168" fontId="2" fillId="0" borderId="0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3" fontId="2" fillId="0" borderId="1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3" xfId="0" applyFont="1" applyBorder="1"/>
    <xf numFmtId="164" fontId="1" fillId="0" borderId="9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9" fillId="0" borderId="0" xfId="0" applyFont="1"/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4" borderId="38" xfId="0" applyFont="1" applyFill="1" applyBorder="1" applyAlignment="1">
      <alignment horizontal="left" vertical="center"/>
    </xf>
    <xf numFmtId="0" fontId="7" fillId="4" borderId="39" xfId="0" applyFont="1" applyFill="1" applyBorder="1" applyAlignment="1">
      <alignment horizontal="left" vertical="center"/>
    </xf>
    <xf numFmtId="0" fontId="7" fillId="4" borderId="39" xfId="0" applyFont="1" applyFill="1" applyBorder="1" applyAlignment="1">
      <alignment horizontal="center" vertical="center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0" fontId="7" fillId="4" borderId="40" xfId="0" applyFont="1" applyFill="1" applyBorder="1" applyAlignment="1">
      <alignment horizontal="left" vertical="center"/>
    </xf>
    <xf numFmtId="0" fontId="7" fillId="4" borderId="41" xfId="0" applyFont="1" applyFill="1" applyBorder="1" applyAlignment="1">
      <alignment horizontal="left" vertical="center"/>
    </xf>
    <xf numFmtId="0" fontId="7" fillId="4" borderId="41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/>
    </xf>
    <xf numFmtId="0" fontId="8" fillId="0" borderId="0" xfId="0" applyFont="1" applyBorder="1" applyAlignment="1"/>
    <xf numFmtId="0" fontId="11" fillId="0" borderId="0" xfId="0" applyFont="1" applyFill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1" fillId="0" borderId="35" xfId="0" applyFont="1" applyBorder="1"/>
    <xf numFmtId="0" fontId="1" fillId="0" borderId="0" xfId="0" applyFont="1" applyBorder="1"/>
    <xf numFmtId="0" fontId="11" fillId="5" borderId="46" xfId="0" applyFont="1" applyFill="1" applyBorder="1" applyAlignment="1">
      <alignment horizontal="center" vertical="center"/>
    </xf>
    <xf numFmtId="0" fontId="7" fillId="4" borderId="50" xfId="0" applyFont="1" applyFill="1" applyBorder="1" applyAlignment="1">
      <alignment horizontal="center" vertical="center"/>
    </xf>
    <xf numFmtId="0" fontId="11" fillId="5" borderId="51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11" fillId="5" borderId="53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11" fillId="5" borderId="55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4" borderId="58" xfId="0" applyFont="1" applyFill="1" applyBorder="1" applyAlignment="1">
      <alignment horizontal="center" vertical="center"/>
    </xf>
    <xf numFmtId="0" fontId="11" fillId="5" borderId="59" xfId="0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7" fillId="4" borderId="61" xfId="0" applyFont="1" applyFill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4" borderId="62" xfId="0" applyFont="1" applyFill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4" borderId="51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14" fontId="10" fillId="5" borderId="49" xfId="0" applyNumberFormat="1" applyFont="1" applyFill="1" applyBorder="1" applyAlignment="1">
      <alignment horizontal="center" vertical="center" textRotation="90"/>
    </xf>
    <xf numFmtId="14" fontId="6" fillId="0" borderId="48" xfId="0" applyNumberFormat="1" applyFont="1" applyBorder="1" applyAlignment="1">
      <alignment horizontal="center" vertical="center" textRotation="90"/>
    </xf>
    <xf numFmtId="14" fontId="6" fillId="0" borderId="37" xfId="0" applyNumberFormat="1" applyFont="1" applyBorder="1" applyAlignment="1">
      <alignment horizontal="center" vertical="center" textRotation="90"/>
    </xf>
    <xf numFmtId="14" fontId="10" fillId="5" borderId="37" xfId="0" applyNumberFormat="1" applyFont="1" applyFill="1" applyBorder="1" applyAlignment="1">
      <alignment horizontal="center" vertical="center" textRotation="90"/>
    </xf>
    <xf numFmtId="14" fontId="6" fillId="0" borderId="49" xfId="0" applyNumberFormat="1" applyFont="1" applyBorder="1" applyAlignment="1">
      <alignment horizontal="center" vertical="center" textRotation="90"/>
    </xf>
    <xf numFmtId="14" fontId="10" fillId="6" borderId="56" xfId="0" applyNumberFormat="1" applyFont="1" applyFill="1" applyBorder="1" applyAlignment="1">
      <alignment horizontal="center" vertical="center" textRotation="75"/>
    </xf>
    <xf numFmtId="0" fontId="11" fillId="6" borderId="56" xfId="0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65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165" fontId="2" fillId="0" borderId="16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/>
    </xf>
    <xf numFmtId="164" fontId="1" fillId="0" borderId="64" xfId="0" applyNumberFormat="1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69" fontId="2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68" xfId="0" applyBorder="1" applyAlignment="1">
      <alignment horizontal="center" vertical="center"/>
    </xf>
    <xf numFmtId="14" fontId="2" fillId="0" borderId="68" xfId="0" applyNumberFormat="1" applyFont="1" applyBorder="1" applyAlignment="1">
      <alignment horizontal="center" vertical="center"/>
    </xf>
    <xf numFmtId="4" fontId="0" fillId="0" borderId="68" xfId="0" applyNumberFormat="1" applyBorder="1" applyAlignment="1">
      <alignment vertical="center"/>
    </xf>
    <xf numFmtId="4" fontId="0" fillId="0" borderId="21" xfId="0" applyNumberFormat="1" applyBorder="1" applyAlignment="1">
      <alignment vertical="center"/>
    </xf>
    <xf numFmtId="0" fontId="4" fillId="0" borderId="0" xfId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top"/>
    </xf>
    <xf numFmtId="0" fontId="3" fillId="0" borderId="66" xfId="0" applyFont="1" applyBorder="1" applyAlignment="1">
      <alignment horizontal="center" vertical="top"/>
    </xf>
    <xf numFmtId="0" fontId="3" fillId="0" borderId="67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17" fillId="3" borderId="0" xfId="0" applyFont="1" applyFill="1" applyAlignment="1">
      <alignment horizontal="center" vertical="center"/>
    </xf>
    <xf numFmtId="0" fontId="4" fillId="0" borderId="0" xfId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 wrapText="1"/>
    </xf>
    <xf numFmtId="0" fontId="19" fillId="7" borderId="0" xfId="0" applyFont="1" applyFill="1" applyAlignment="1">
      <alignment horizontal="center" vertical="center" wrapText="1"/>
    </xf>
    <xf numFmtId="0" fontId="19" fillId="7" borderId="0" xfId="0" applyNumberFormat="1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79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/>
        </patternFill>
      </fill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diagonalUp="0" diagonalDown="0">
        <left/>
        <right/>
        <top style="thin">
          <color theme="1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/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alignment horizontal="general" vertical="center" textRotation="0" wrapText="0" indent="0" justifyLastLine="0" shrinkToFit="0" readingOrder="0"/>
      <border diagonalUp="0" diagonalDown="0">
        <left/>
        <right style="hair">
          <color indexed="64"/>
        </right>
        <vertical style="hair">
          <color indexed="64"/>
        </vertic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0.39997558519241921"/>
        <name val="Calibri"/>
        <family val="2"/>
        <scheme val="minor"/>
      </font>
      <numFmt numFmtId="0" formatCode="General"/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0.39997558519241921"/>
        <name val="Calibri"/>
        <family val="2"/>
        <scheme val="minor"/>
      </font>
      <numFmt numFmtId="0" formatCode="General"/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&quot; ans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</font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hyperlink" Target="#'R&#233;cap factur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80873</xdr:colOff>
      <xdr:row>7</xdr:row>
      <xdr:rowOff>188700</xdr:rowOff>
    </xdr:from>
    <xdr:to>
      <xdr:col>0</xdr:col>
      <xdr:colOff>476873</xdr:colOff>
      <xdr:row>9</xdr:row>
      <xdr:rowOff>189323</xdr:rowOff>
    </xdr:to>
    <xdr:pic macro="[0]!Copie_facture">
      <xdr:nvPicPr>
        <xdr:cNvPr id="3" name="Graphique 2" descr="Télécharger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0873" y="1572521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80873</xdr:colOff>
      <xdr:row>3</xdr:row>
      <xdr:rowOff>8983</xdr:rowOff>
    </xdr:from>
    <xdr:to>
      <xdr:col>0</xdr:col>
      <xdr:colOff>476873</xdr:colOff>
      <xdr:row>5</xdr:row>
      <xdr:rowOff>9606</xdr:rowOff>
    </xdr:to>
    <xdr:pic macro="[0]!Mail">
      <xdr:nvPicPr>
        <xdr:cNvPr id="4" name="Graphique 3" descr="E-mail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80873" y="602049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9</xdr:row>
          <xdr:rowOff>190500</xdr:rowOff>
        </xdr:from>
        <xdr:to>
          <xdr:col>0</xdr:col>
          <xdr:colOff>552450</xdr:colOff>
          <xdr:row>11</xdr:row>
          <xdr:rowOff>47625</xdr:rowOff>
        </xdr:to>
        <xdr:sp macro="" textlink="">
          <xdr:nvSpPr>
            <xdr:cNvPr id="1027" name="Labe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5</xdr:row>
          <xdr:rowOff>47625</xdr:rowOff>
        </xdr:from>
        <xdr:to>
          <xdr:col>0</xdr:col>
          <xdr:colOff>533400</xdr:colOff>
          <xdr:row>6</xdr:row>
          <xdr:rowOff>114300</xdr:rowOff>
        </xdr:to>
        <xdr:sp macro="" textlink="">
          <xdr:nvSpPr>
            <xdr:cNvPr id="1028" name="Labe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89860</xdr:colOff>
      <xdr:row>3</xdr:row>
      <xdr:rowOff>0</xdr:rowOff>
    </xdr:from>
    <xdr:to>
      <xdr:col>0</xdr:col>
      <xdr:colOff>485860</xdr:colOff>
      <xdr:row>5</xdr:row>
      <xdr:rowOff>623</xdr:rowOff>
    </xdr:to>
    <xdr:pic>
      <xdr:nvPicPr>
        <xdr:cNvPr id="5" name="Graphique 4" descr="Flèche : demi-tour horizontal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9860" y="593066"/>
          <a:ext cx="396000" cy="3960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5CCBF-20B7-46F6-AF3E-72CF3BA55904}" name="T_BdD" displayName="T_BdD" ref="B2:S7" insertRowShift="1" totalsRowShown="0" headerRowDxfId="78" dataDxfId="77">
  <autoFilter ref="B2:S7" xr:uid="{BB70F634-A43F-4E81-AC38-5D272D4983D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21D963DD-E46E-48FB-8EE5-5C93A868C8B6}" name="Nom" dataDxfId="76"/>
    <tableColumn id="2" xr3:uid="{E0F891A7-67EA-416B-A3F3-B49EF58912A6}" name="Prénom" dataDxfId="75"/>
    <tableColumn id="10" xr3:uid="{BAA6895E-079F-446E-8E2F-F36E1DF286ED}" name="Adresse" dataDxfId="74"/>
    <tableColumn id="11" xr3:uid="{7044E735-1B42-455B-89A4-D1742C770DA7}" name="Code postal" dataDxfId="73"/>
    <tableColumn id="12" xr3:uid="{36CC8710-61AC-4E74-A48E-02AAD95BB1BE}" name="Ville" dataDxfId="72"/>
    <tableColumn id="13" xr3:uid="{70DC8330-073F-461A-910F-9E8C89580469}" name="Téléphone" dataDxfId="71"/>
    <tableColumn id="3" xr3:uid="{DBA016DB-5811-4EAB-8EC8-3C6B8C441D0F}" name="Adresse mail" dataDxfId="70" dataCellStyle="Lien hypertexte"/>
    <tableColumn id="4" xr3:uid="{CCC79E35-ADE3-45D1-A074-A707C2F97CC6}" name="Contact" dataDxfId="69" dataCellStyle="Normal"/>
    <tableColumn id="5" xr3:uid="{AC1A9311-8A00-4303-89FF-340D9A7937F1}" name="Lien avec l'enfant" dataDxfId="68"/>
    <tableColumn id="6" xr3:uid="{80699049-1DB1-456C-A0D4-23B9215CA09D}" name="Téléphone2" dataDxfId="67"/>
    <tableColumn id="15" xr3:uid="{B18E2D1E-52CC-4B9B-ABBA-FC8BD59CA4B3}" name="Date de naissance" dataDxfId="66"/>
    <tableColumn id="7" xr3:uid="{C1F04176-CDE4-4E94-8096-49EBA39A916C}" name="Age" dataDxfId="65">
      <calculatedColumnFormula>IF(T_BdD[[#This Row],[Date de naissance]]&gt;0,ROUND((TODAY()-T_BdD[[#This Row],[Date de naissance]])/365.25,0),"")</calculatedColumnFormula>
    </tableColumn>
    <tableColumn id="8" xr3:uid="{CB271D30-60BC-451D-9CD3-F252A4440494}" name="Quotient familial" dataDxfId="64"/>
    <tableColumn id="16" xr3:uid="{1FA2D84B-A03C-4C9C-A7FF-E59799EBD013}" name="N° d'allocataire" dataDxfId="63"/>
    <tableColumn id="9" xr3:uid="{6FE70DA8-B6E9-4560-9178-4987ABA0418F}" name="Adhérent" dataDxfId="62"/>
    <tableColumn id="14" xr3:uid="{FB86C7C4-14A1-4311-A3E5-7A9689B6FBC1}" name="Facture" dataDxfId="61">
      <calculatedColumnFormula>IFERROR(INDEX(T_Récap_factures[N° Facture],MATCH(B3,T_Récap_factures[Nom],0)),"")</calculatedColumnFormula>
    </tableColumn>
    <tableColumn id="17" xr3:uid="{5726B431-62E3-44E7-A7AB-6098503C9C6A}" name="Compteur" dataDxfId="60">
      <calculatedColumnFormula>IF(T_BdD[[#This Row],[Facture]]="",MAX($R$2:R2)+1,"")</calculatedColumnFormula>
    </tableColumn>
    <tableColumn id="18" xr3:uid="{8A453435-D878-499E-885A-38E0F913F804}" name="A facturer" dataDxfId="59">
      <calculatedColumnFormula>IFERROR(INDEX(B:R,MATCH(ROW(S1),R:R,0),1),"")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34BDB6-6DFC-4E6E-83D4-1CB0064A7A43}" name="T_Récap_factures" displayName="T_Récap_factures" ref="B2:I3" insertRow="1" totalsRowShown="0" headerRowDxfId="58" dataDxfId="56" headerRowBorderDxfId="57" tableBorderDxfId="55">
  <autoFilter ref="B2:I3" xr:uid="{FA3D3775-BA35-4AAE-AFBC-EE799446E150}"/>
  <tableColumns count="8">
    <tableColumn id="1" xr3:uid="{3DAD6BCF-A9BC-453A-8D4D-DADCCA421B4E}" name="Nom" dataDxfId="54"/>
    <tableColumn id="2" xr3:uid="{072C8967-1925-44B6-94DC-7AF3D9192FCA}" name="N° Facture" dataDxfId="53"/>
    <tableColumn id="3" xr3:uid="{75278667-8D5C-4178-9131-17B08223CA54}" name="Date" dataDxfId="52"/>
    <tableColumn id="4" xr3:uid="{E857615F-2819-487E-BC87-73970886BF3F}" name="Camp" dataDxfId="51"/>
    <tableColumn id="5" xr3:uid="{354ABE53-39F2-49AC-B2C5-3C14AC836147}" name="Centre journée" dataDxfId="50"/>
    <tableColumn id="6" xr3:uid="{FA1E77F0-F49A-41F7-8856-DAED6B3DBE07}" name="Garderie" dataDxfId="49"/>
    <tableColumn id="7" xr3:uid="{8B99C119-35B8-445C-9E77-97C26C669193}" name="Centre semaine" dataDxfId="48"/>
    <tableColumn id="8" xr3:uid="{11DC91D5-FF95-4E04-B293-17C7C4726F8D}" name="Total" dataDxfId="47">
      <calculatedColumnFormula>SUM(T_Récap_factures[[#This Row],[Camp]:[Centre semaine]])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B38322-EE87-4CE1-AA56-E2DEBBC5BA5D}" name="Tableau6" displayName="Tableau6" ref="B3:F7" totalsRowShown="0" headerRowDxfId="46" dataDxfId="44" headerRowBorderDxfId="45" tableBorderDxfId="43">
  <autoFilter ref="B3:F7" xr:uid="{86A39C67-0C80-4C04-9BE3-A08708B2003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1677085-601F-4811-800E-6308D5DD71CE}" name="QF" dataDxfId="42"/>
    <tableColumn id="2" xr3:uid="{403BD6A7-2039-4E48-9103-01C5D981FFFE}" name="Camp à l'Herberie Pouancé" dataDxfId="41"/>
    <tableColumn id="3" xr3:uid="{4CFAF20E-3D5D-4E6D-AF7C-A02CB161B4D6}" name="Camp Craon" dataDxfId="40"/>
    <tableColumn id="4" xr3:uid="{CB3C39B5-1EAF-4D1F-9437-3BF23C6B5E3B}" name="Camp Multi activité en Anjou - Ponts de cé" dataDxfId="39"/>
    <tableColumn id="5" xr3:uid="{48D28ED7-7645-4263-8203-B9D738D65E4E}" name="Camp Sportif à Rougé" dataDxfId="38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50396A-26C6-4608-8D88-84D2751D113E}" name="Tableau7" displayName="Tableau7" ref="B9:G10" totalsRowShown="0" headerRowDxfId="37" dataDxfId="35" headerRowBorderDxfId="36" tableBorderDxfId="34" totalsRowBorderDxfId="33">
  <autoFilter ref="B9:G10" xr:uid="{ED85D1BB-28A3-4AC8-A4CE-EEE639542EE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BBC6F22-F6B6-4749-8112-743E2D6B7E3A}" name="QF" dataDxfId="32">
      <calculatedColumnFormula>Facture!C13</calculatedColumnFormula>
    </tableColumn>
    <tableColumn id="2" xr3:uid="{B3641534-467E-450A-8E39-C94659C6D9EB}" name="Camp à l'Herberie Pouancé" dataDxfId="31">
      <calculatedColumnFormula>IF(AND(Facture!$C$14="oui",Facture!$B$20=Paramètres!C$3),VLOOKUP($B$10,B$4:F$7,2,1),0)</calculatedColumnFormula>
    </tableColumn>
    <tableColumn id="3" xr3:uid="{2569E8CC-916D-468C-BEC4-1741BA389588}" name="Camp Craon" dataDxfId="30">
      <calculatedColumnFormula>IF(AND(Facture!$C$14="oui",Facture!$B$20=Paramètres!D$3),VLOOKUP($B$10,B$4:F$7,3,1),0)</calculatedColumnFormula>
    </tableColumn>
    <tableColumn id="4" xr3:uid="{D6227154-55AC-41F5-8434-3AF5B0FF08FF}" name="Camp Multi activité en Anjou - Ponts de cé" dataDxfId="29">
      <calculatedColumnFormula>IF(AND(Facture!$C$14="oui",Facture!$B$20=Paramètres!E$3),VLOOKUP($B$10,B$4:F$7,4,1),0)</calculatedColumnFormula>
    </tableColumn>
    <tableColumn id="5" xr3:uid="{2CFF9FEB-2F6A-4161-B6C0-F7036EF54483}" name="Camp Sportif à Rougé" dataDxfId="28">
      <calculatedColumnFormula>IF(AND(Facture!$C$14="oui",Facture!$B$20=Paramètres!F$3),VLOOKUP($B$10,B$4:F$7,5,1),0)</calculatedColumnFormula>
    </tableColumn>
    <tableColumn id="6" xr3:uid="{A3B4DC13-385F-4581-B639-C3353A615091}" name="Coût" dataDxfId="27">
      <calculatedColumnFormula>SUM(C10:F10)</calculatedColumnFormula>
    </tableColumn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0D12995-9FEC-455F-B80F-F0C3C52F11EE}" name="Tableau9" displayName="Tableau9" ref="B14:F18" totalsRowShown="0" headerRowDxfId="26" dataDxfId="24" headerRowBorderDxfId="25" tableBorderDxfId="23">
  <autoFilter ref="B14:F18" xr:uid="{41357D61-951C-4B7B-B7D4-69E29849FBC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6143702-7A6F-4AC1-8132-2ACB41E41956}" name="QF" dataDxfId="22"/>
    <tableColumn id="2" xr3:uid="{633E9D32-C754-48AA-962E-3C82C3CFCB64}" name="Camp à l'Herberie Pouancé" dataDxfId="21"/>
    <tableColumn id="3" xr3:uid="{37FEB513-D79E-47F4-9EE9-C631AC326BC2}" name="Camp Craon" dataDxfId="20"/>
    <tableColumn id="4" xr3:uid="{AE8EBF86-13CD-40D2-8687-9F1BCBC89D16}" name="Camp Multi activité en Anjou - Ponts de cé" dataDxfId="19"/>
    <tableColumn id="5" xr3:uid="{18ECC678-CB3D-4B8C-9C18-6ACC3B6CB56F}" name="Camp Sportif à Rougé" dataDxfId="18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832AF2A-76C5-42E1-BDF9-5A5A8794FECA}" name="T_Prestations" displayName="T_Prestations" ref="B43:B46" totalsRowShown="0" headerRowDxfId="17" headerRowBorderDxfId="16">
  <autoFilter ref="B43:B46" xr:uid="{D142D31C-6467-49EA-9B01-0E30F14604AB}">
    <filterColumn colId="0" hiddenButton="1"/>
  </autoFilter>
  <tableColumns count="1">
    <tableColumn id="1" xr3:uid="{FAA8F085-23E6-45FA-B102-282C06AD683E}" name="Prestations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C99F24-18E7-42C3-AA77-1C123E8BBEDC}" name="T_Garderie" displayName="T_Garderie" ref="B48:D51" totalsRowShown="0" headerRowDxfId="15" dataDxfId="13" headerRowBorderDxfId="14" tableBorderDxfId="12">
  <autoFilter ref="B48:D51" xr:uid="{348118DF-C1D0-44B8-9766-BBF3FE054B2B}">
    <filterColumn colId="0" hiddenButton="1"/>
    <filterColumn colId="1" hiddenButton="1"/>
    <filterColumn colId="2" hiddenButton="1"/>
  </autoFilter>
  <tableColumns count="3">
    <tableColumn id="1" xr3:uid="{6DC96B3A-FB3B-47E7-9D3C-9A382042E792}" name="Garderie" dataDxfId="11"/>
    <tableColumn id="2" xr3:uid="{36FE85AE-8928-4BAB-9493-954CAC19E363}" name="Code" dataDxfId="10"/>
    <tableColumn id="3" xr3:uid="{0F77A803-4929-4C4F-8F14-110FECBE05E7}" name="Coût" dataDxfId="9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ppan@gmail.com" TargetMode="External"/><Relationship Id="rId7" Type="http://schemas.openxmlformats.org/officeDocument/2006/relationships/hyperlink" Target="mailto:sconnors@free.fr" TargetMode="External"/><Relationship Id="rId2" Type="http://schemas.openxmlformats.org/officeDocument/2006/relationships/hyperlink" Target="https://harrypotter.fandom.com/fr/wiki/Albus_Dumbledore" TargetMode="External"/><Relationship Id="rId1" Type="http://schemas.openxmlformats.org/officeDocument/2006/relationships/hyperlink" Target="mailto:hpotter@gmail,com" TargetMode="External"/><Relationship Id="rId6" Type="http://schemas.openxmlformats.org/officeDocument/2006/relationships/hyperlink" Target="https://harrypotter.fandom.com/fr/wiki/Little_Whinging" TargetMode="External"/><Relationship Id="rId5" Type="http://schemas.openxmlformats.org/officeDocument/2006/relationships/hyperlink" Target="mailto:Cbrown@orange.com" TargetMode="External"/><Relationship Id="rId4" Type="http://schemas.openxmlformats.org/officeDocument/2006/relationships/hyperlink" Target="mailto:kmcc@yahoo.com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C8E6-6FEE-4165-859F-BDD2BE14B3AA}">
  <sheetPr codeName="Feuil1"/>
  <dimension ref="B2:T38"/>
  <sheetViews>
    <sheetView showGridLines="0" workbookViewId="0">
      <selection activeCell="P6" sqref="P6"/>
    </sheetView>
  </sheetViews>
  <sheetFormatPr baseColWidth="10" defaultRowHeight="15" outlineLevelCol="1" x14ac:dyDescent="0.25"/>
  <cols>
    <col min="1" max="1" width="4.7109375" customWidth="1"/>
    <col min="2" max="3" width="20.7109375" style="65" customWidth="1"/>
    <col min="4" max="4" width="40.5703125" style="65" customWidth="1"/>
    <col min="5" max="5" width="13.85546875" style="2" customWidth="1"/>
    <col min="6" max="6" width="20.7109375" style="65" customWidth="1"/>
    <col min="7" max="7" width="14.7109375" style="65" bestFit="1" customWidth="1"/>
    <col min="8" max="8" width="20.7109375" style="2" customWidth="1"/>
    <col min="9" max="10" width="20.7109375" customWidth="1"/>
    <col min="11" max="12" width="15.7109375" style="37" customWidth="1"/>
    <col min="13" max="13" width="11.42578125" style="36" bestFit="1" customWidth="1"/>
    <col min="14" max="14" width="17.7109375" style="38" bestFit="1" customWidth="1"/>
    <col min="15" max="15" width="17.7109375" style="38" customWidth="1"/>
    <col min="16" max="16" width="10.28515625" style="2" bestFit="1" customWidth="1"/>
    <col min="17" max="17" width="18.7109375" customWidth="1"/>
    <col min="18" max="18" width="22" hidden="1" customWidth="1" outlineLevel="1"/>
    <col min="19" max="19" width="23.140625" hidden="1" customWidth="1" outlineLevel="1"/>
    <col min="20" max="20" width="11.42578125" collapsed="1"/>
  </cols>
  <sheetData>
    <row r="2" spans="2:19" s="2" customFormat="1" ht="31.5" x14ac:dyDescent="0.25">
      <c r="B2" s="39" t="s">
        <v>4</v>
      </c>
      <c r="C2" s="39" t="s">
        <v>5</v>
      </c>
      <c r="D2" s="39" t="s">
        <v>56</v>
      </c>
      <c r="E2" s="39" t="s">
        <v>57</v>
      </c>
      <c r="F2" s="39" t="s">
        <v>58</v>
      </c>
      <c r="G2" s="40" t="s">
        <v>25</v>
      </c>
      <c r="H2" s="39" t="s">
        <v>7</v>
      </c>
      <c r="I2" s="39" t="s">
        <v>23</v>
      </c>
      <c r="J2" s="39" t="s">
        <v>24</v>
      </c>
      <c r="K2" s="40" t="s">
        <v>68</v>
      </c>
      <c r="L2" s="40" t="s">
        <v>102</v>
      </c>
      <c r="M2" s="41" t="s">
        <v>8</v>
      </c>
      <c r="N2" s="42" t="s">
        <v>6</v>
      </c>
      <c r="O2" s="42" t="s">
        <v>103</v>
      </c>
      <c r="P2" s="39" t="s">
        <v>20</v>
      </c>
      <c r="Q2" s="39" t="s">
        <v>94</v>
      </c>
      <c r="R2" s="186" t="s">
        <v>105</v>
      </c>
      <c r="S2" s="186" t="s">
        <v>104</v>
      </c>
    </row>
    <row r="3" spans="2:19" s="47" customFormat="1" ht="15.75" x14ac:dyDescent="0.25">
      <c r="B3" s="63" t="s">
        <v>29</v>
      </c>
      <c r="C3" s="63" t="s">
        <v>30</v>
      </c>
      <c r="D3" s="47" t="s">
        <v>60</v>
      </c>
      <c r="E3" s="83">
        <v>99999</v>
      </c>
      <c r="F3" t="s">
        <v>61</v>
      </c>
      <c r="G3" s="48">
        <v>809050602</v>
      </c>
      <c r="H3" s="166" t="s">
        <v>93</v>
      </c>
      <c r="I3" s="47" t="s">
        <v>31</v>
      </c>
      <c r="J3" s="46" t="s">
        <v>32</v>
      </c>
      <c r="K3" s="48">
        <v>102030405</v>
      </c>
      <c r="L3" s="182">
        <v>40421</v>
      </c>
      <c r="M3" s="54">
        <f ca="1">IF(T_BdD[[#This Row],[Date de naissance]]&gt;0,ROUND((TODAY()-T_BdD[[#This Row],[Date de naissance]])/365.25,0),"")</f>
        <v>9</v>
      </c>
      <c r="N3" s="49">
        <v>1500</v>
      </c>
      <c r="O3" s="49"/>
      <c r="P3" s="46" t="s">
        <v>33</v>
      </c>
      <c r="Q3" s="167" t="str">
        <f>IFERROR(INDEX(T_Récap_factures[N° Facture],MATCH(B3,T_Récap_factures[Nom],0)),"")</f>
        <v/>
      </c>
      <c r="R3" s="187">
        <f>IF(T_BdD[[#This Row],[Facture]]="",MAX($R$2:R2)+1,"")</f>
        <v>1</v>
      </c>
      <c r="S3" s="187" t="str">
        <f>IFERROR(INDEX(B:R,MATCH(ROW(S1),R:R,0),1),"")</f>
        <v>Potter</v>
      </c>
    </row>
    <row r="4" spans="2:19" s="47" customFormat="1" ht="15.75" x14ac:dyDescent="0.25">
      <c r="B4" s="64" t="s">
        <v>34</v>
      </c>
      <c r="C4" s="64" t="s">
        <v>35</v>
      </c>
      <c r="D4" s="64" t="s">
        <v>62</v>
      </c>
      <c r="E4" s="84">
        <v>88888</v>
      </c>
      <c r="F4" s="64" t="s">
        <v>63</v>
      </c>
      <c r="G4" s="58">
        <v>305070109</v>
      </c>
      <c r="H4" s="61" t="s">
        <v>48</v>
      </c>
      <c r="I4" s="57" t="s">
        <v>36</v>
      </c>
      <c r="J4" s="56" t="s">
        <v>37</v>
      </c>
      <c r="K4" s="58" t="s">
        <v>38</v>
      </c>
      <c r="L4" s="167">
        <v>41698</v>
      </c>
      <c r="M4" s="59">
        <f ca="1">IF(T_BdD[[#This Row],[Date de naissance]]&gt;0,ROUND((TODAY()-T_BdD[[#This Row],[Date de naissance]])/365.25,0),"")</f>
        <v>6</v>
      </c>
      <c r="N4" s="60">
        <v>1200</v>
      </c>
      <c r="O4" s="60"/>
      <c r="P4" s="56" t="s">
        <v>33</v>
      </c>
      <c r="Q4" s="167" t="str">
        <f>IFERROR(INDEX(T_Récap_factures[N° Facture],MATCH(B4,T_Récap_factures[Nom],0)),"")</f>
        <v/>
      </c>
      <c r="R4" s="187">
        <f>IF(T_BdD[[#This Row],[Facture]]="",MAX($R$2:R3)+1,"")</f>
        <v>2</v>
      </c>
      <c r="S4" s="187" t="str">
        <f>IFERROR(INDEX(B:R,MATCH(ROW(S2),R:R,0),1),"")</f>
        <v>Pan</v>
      </c>
    </row>
    <row r="5" spans="2:19" s="47" customFormat="1" ht="15.75" x14ac:dyDescent="0.25">
      <c r="B5" s="65" t="s">
        <v>41</v>
      </c>
      <c r="C5" s="64" t="s">
        <v>42</v>
      </c>
      <c r="D5" t="s">
        <v>65</v>
      </c>
      <c r="E5" s="84">
        <v>77777</v>
      </c>
      <c r="F5" s="64" t="s">
        <v>64</v>
      </c>
      <c r="G5" s="58">
        <v>604090103</v>
      </c>
      <c r="H5" s="61" t="s">
        <v>49</v>
      </c>
      <c r="I5" s="57" t="s">
        <v>43</v>
      </c>
      <c r="J5" s="56" t="s">
        <v>44</v>
      </c>
      <c r="K5" s="58">
        <v>504060907</v>
      </c>
      <c r="L5" s="167">
        <v>39804</v>
      </c>
      <c r="M5" s="59">
        <f ca="1">IF(T_BdD[[#This Row],[Date de naissance]]&gt;0,ROUND((TODAY()-T_BdD[[#This Row],[Date de naissance]])/365.25,0),"")</f>
        <v>11</v>
      </c>
      <c r="N5" s="60">
        <v>1300</v>
      </c>
      <c r="O5" s="60"/>
      <c r="P5" s="56" t="s">
        <v>39</v>
      </c>
      <c r="Q5" s="167" t="str">
        <f>IFERROR(INDEX(T_Récap_factures[N° Facture],MATCH(B5,T_Récap_factures[Nom],0)),"")</f>
        <v/>
      </c>
      <c r="R5" s="187">
        <f>IF(T_BdD[[#This Row],[Facture]]="",MAX($R$2:R4)+1,"")</f>
        <v>3</v>
      </c>
      <c r="S5" s="187" t="str">
        <f>IFERROR(INDEX(B:R,MATCH(ROW(S3),R:R,0),1),"")</f>
        <v>McCallister</v>
      </c>
    </row>
    <row r="6" spans="2:19" s="47" customFormat="1" ht="15.75" x14ac:dyDescent="0.25">
      <c r="B6" s="64" t="s">
        <v>45</v>
      </c>
      <c r="C6" s="64" t="s">
        <v>46</v>
      </c>
      <c r="D6" s="64" t="s">
        <v>66</v>
      </c>
      <c r="E6" s="84">
        <v>16000</v>
      </c>
      <c r="F6" s="64" t="s">
        <v>67</v>
      </c>
      <c r="G6" s="58">
        <v>802060405</v>
      </c>
      <c r="H6" s="61" t="s">
        <v>47</v>
      </c>
      <c r="I6" s="57" t="s">
        <v>50</v>
      </c>
      <c r="J6" s="56" t="s">
        <v>37</v>
      </c>
      <c r="K6" s="58">
        <v>609030107</v>
      </c>
      <c r="L6" s="167">
        <v>41689</v>
      </c>
      <c r="M6" s="59">
        <f ca="1">IF(T_BdD[[#This Row],[Date de naissance]]&gt;0,ROUND((TODAY()-T_BdD[[#This Row],[Date de naissance]])/365.25,0),"")</f>
        <v>6</v>
      </c>
      <c r="N6" s="60">
        <v>600</v>
      </c>
      <c r="O6" s="60"/>
      <c r="P6" s="56" t="s">
        <v>33</v>
      </c>
      <c r="Q6" s="167" t="str">
        <f>IFERROR(INDEX(T_Récap_factures[N° Facture],MATCH(B6,T_Récap_factures[Nom],0)),"")</f>
        <v/>
      </c>
      <c r="R6" s="187">
        <f>IF(T_BdD[[#This Row],[Facture]]="",MAX($R$2:R5)+1,"")</f>
        <v>4</v>
      </c>
      <c r="S6" s="187" t="str">
        <f>IFERROR(INDEX(B:R,MATCH(ROW(S4),R:R,0),1),"")</f>
        <v>Brown</v>
      </c>
    </row>
    <row r="7" spans="2:19" s="47" customFormat="1" ht="15.75" x14ac:dyDescent="0.25">
      <c r="B7" s="64" t="s">
        <v>106</v>
      </c>
      <c r="C7" s="64" t="s">
        <v>107</v>
      </c>
      <c r="D7" s="64" t="s">
        <v>108</v>
      </c>
      <c r="E7" s="84">
        <v>31000</v>
      </c>
      <c r="F7" s="64" t="s">
        <v>109</v>
      </c>
      <c r="G7" s="58">
        <v>405060809</v>
      </c>
      <c r="H7" s="61" t="s">
        <v>110</v>
      </c>
      <c r="I7" s="57" t="s">
        <v>111</v>
      </c>
      <c r="J7" s="56" t="s">
        <v>112</v>
      </c>
      <c r="K7" s="58" t="s">
        <v>113</v>
      </c>
      <c r="L7" s="167">
        <v>40323</v>
      </c>
      <c r="M7" s="59">
        <f ca="1">IF(T_BdD[[#This Row],[Date de naissance]]&gt;0,ROUND((TODAY()-T_BdD[[#This Row],[Date de naissance]])/365.25,0),"")</f>
        <v>9</v>
      </c>
      <c r="N7" s="60">
        <v>505</v>
      </c>
      <c r="O7" s="60"/>
      <c r="P7" s="56" t="s">
        <v>33</v>
      </c>
      <c r="Q7" s="167" t="str">
        <f>IFERROR(INDEX(T_Récap_factures[N° Facture],MATCH(B7,T_Récap_factures[Nom],0)),"")</f>
        <v/>
      </c>
      <c r="R7" s="188">
        <f>IF(T_BdD[[#This Row],[Facture]]="",MAX($R$2:R6)+1,"")</f>
        <v>5</v>
      </c>
      <c r="S7" s="188" t="str">
        <f>IFERROR(INDEX(B:R,MATCH(ROW(S5),R:R,0),1),"")</f>
        <v>Connors</v>
      </c>
    </row>
    <row r="8" spans="2:19" s="47" customFormat="1" x14ac:dyDescent="0.25">
      <c r="B8" s="66"/>
      <c r="C8" s="66"/>
      <c r="D8" s="66"/>
      <c r="E8" s="50"/>
      <c r="F8" s="66"/>
      <c r="G8" s="66"/>
      <c r="H8" s="50"/>
      <c r="K8" s="51"/>
      <c r="L8" s="51"/>
      <c r="M8" s="52"/>
      <c r="N8" s="53"/>
      <c r="O8" s="53"/>
      <c r="P8" s="50"/>
    </row>
    <row r="9" spans="2:19" s="47" customFormat="1" x14ac:dyDescent="0.25">
      <c r="B9" s="66"/>
      <c r="C9" s="66"/>
      <c r="D9" s="66"/>
      <c r="E9" s="50"/>
      <c r="F9" s="66"/>
      <c r="G9" s="66"/>
      <c r="H9" s="50"/>
      <c r="K9" s="51"/>
      <c r="L9" s="51"/>
      <c r="M9" s="52"/>
      <c r="N9" s="53"/>
      <c r="O9" s="53"/>
      <c r="P9" s="50"/>
    </row>
    <row r="10" spans="2:19" s="47" customFormat="1" x14ac:dyDescent="0.25">
      <c r="B10" s="66"/>
      <c r="C10" s="66"/>
      <c r="D10" s="66"/>
      <c r="E10" s="50"/>
      <c r="F10" s="66"/>
      <c r="G10" s="66"/>
      <c r="H10" s="50"/>
      <c r="K10" s="51"/>
      <c r="L10" s="51"/>
      <c r="M10" s="52"/>
      <c r="N10" s="53"/>
      <c r="O10" s="53"/>
      <c r="P10" s="50"/>
    </row>
    <row r="11" spans="2:19" s="47" customFormat="1" x14ac:dyDescent="0.25">
      <c r="B11" s="66"/>
      <c r="C11" s="66"/>
      <c r="D11" s="66"/>
      <c r="E11" s="50"/>
      <c r="F11" s="66"/>
      <c r="G11" s="66"/>
      <c r="H11" s="50"/>
      <c r="K11" s="51"/>
      <c r="L11" s="51"/>
      <c r="M11" s="52"/>
      <c r="N11" s="53"/>
      <c r="O11" s="53"/>
      <c r="P11" s="50"/>
    </row>
    <row r="12" spans="2:19" s="47" customFormat="1" x14ac:dyDescent="0.25">
      <c r="B12" s="66"/>
      <c r="C12" s="66"/>
      <c r="D12" s="66"/>
      <c r="E12" s="50"/>
      <c r="F12" s="66"/>
      <c r="G12" s="66"/>
      <c r="H12" s="50"/>
      <c r="K12" s="51"/>
      <c r="L12" s="51"/>
      <c r="M12" s="52"/>
      <c r="N12" s="53"/>
      <c r="O12" s="53"/>
      <c r="P12" s="50"/>
    </row>
    <row r="13" spans="2:19" s="47" customFormat="1" x14ac:dyDescent="0.25">
      <c r="B13" s="66"/>
      <c r="C13" s="66"/>
      <c r="D13" s="66"/>
      <c r="E13" s="50"/>
      <c r="F13" s="66"/>
      <c r="G13" s="66"/>
      <c r="H13" s="50"/>
      <c r="K13" s="51"/>
      <c r="L13" s="51"/>
      <c r="M13" s="52"/>
      <c r="N13" s="53"/>
      <c r="O13" s="53"/>
      <c r="P13" s="50"/>
    </row>
    <row r="14" spans="2:19" s="47" customFormat="1" x14ac:dyDescent="0.25">
      <c r="B14" s="66"/>
      <c r="C14" s="66"/>
      <c r="D14" s="66"/>
      <c r="E14" s="50"/>
      <c r="F14" s="66"/>
      <c r="G14" s="66"/>
      <c r="H14" s="50"/>
      <c r="K14" s="51"/>
      <c r="L14" s="51"/>
      <c r="M14" s="52"/>
      <c r="N14" s="53"/>
      <c r="O14" s="53"/>
      <c r="P14" s="50"/>
    </row>
    <row r="15" spans="2:19" s="47" customFormat="1" x14ac:dyDescent="0.25">
      <c r="B15" s="66"/>
      <c r="C15" s="66"/>
      <c r="D15" s="66"/>
      <c r="E15" s="50"/>
      <c r="F15" s="66"/>
      <c r="G15" s="66"/>
      <c r="H15" s="50"/>
      <c r="K15" s="51"/>
      <c r="L15" s="51"/>
      <c r="M15" s="52"/>
      <c r="N15" s="53"/>
      <c r="O15" s="53"/>
      <c r="P15" s="50"/>
    </row>
    <row r="16" spans="2:19" s="47" customFormat="1" x14ac:dyDescent="0.25">
      <c r="B16" s="66"/>
      <c r="C16" s="66"/>
      <c r="D16" s="66"/>
      <c r="E16" s="50"/>
      <c r="F16" s="66"/>
      <c r="G16" s="66"/>
      <c r="H16" s="50"/>
      <c r="K16" s="51"/>
      <c r="L16" s="51"/>
      <c r="M16" s="52"/>
      <c r="N16" s="53"/>
      <c r="O16" s="53"/>
      <c r="P16" s="50"/>
    </row>
    <row r="17" spans="2:16" s="47" customFormat="1" x14ac:dyDescent="0.25">
      <c r="B17" s="66"/>
      <c r="C17" s="66"/>
      <c r="D17" s="66"/>
      <c r="E17" s="50"/>
      <c r="F17" s="66"/>
      <c r="G17" s="66"/>
      <c r="H17" s="50"/>
      <c r="K17" s="51"/>
      <c r="L17" s="51"/>
      <c r="M17" s="52"/>
      <c r="N17" s="53"/>
      <c r="O17" s="53"/>
      <c r="P17" s="50"/>
    </row>
    <row r="18" spans="2:16" s="47" customFormat="1" x14ac:dyDescent="0.25">
      <c r="B18" s="66"/>
      <c r="C18" s="66"/>
      <c r="D18" s="66"/>
      <c r="E18" s="50"/>
      <c r="F18" s="66"/>
      <c r="G18" s="66"/>
      <c r="H18" s="50"/>
      <c r="K18" s="51"/>
      <c r="L18" s="51"/>
      <c r="M18" s="52"/>
      <c r="N18" s="53"/>
      <c r="O18" s="53"/>
      <c r="P18" s="50"/>
    </row>
    <row r="19" spans="2:16" s="47" customFormat="1" x14ac:dyDescent="0.25">
      <c r="B19" s="66"/>
      <c r="C19" s="66"/>
      <c r="D19" s="66"/>
      <c r="E19" s="50"/>
      <c r="F19" s="66"/>
      <c r="G19" s="66"/>
      <c r="H19" s="50"/>
      <c r="K19" s="51"/>
      <c r="L19" s="51"/>
      <c r="M19" s="52"/>
      <c r="N19" s="53"/>
      <c r="O19" s="53"/>
      <c r="P19" s="50"/>
    </row>
    <row r="20" spans="2:16" s="47" customFormat="1" x14ac:dyDescent="0.25">
      <c r="B20" s="66"/>
      <c r="C20" s="66"/>
      <c r="D20" s="66"/>
      <c r="E20" s="50"/>
      <c r="F20" s="66"/>
      <c r="G20" s="66"/>
      <c r="H20" s="50"/>
      <c r="K20" s="51"/>
      <c r="L20" s="51"/>
      <c r="M20" s="52"/>
      <c r="N20" s="53"/>
      <c r="O20" s="53"/>
      <c r="P20" s="50"/>
    </row>
    <row r="21" spans="2:16" s="47" customFormat="1" x14ac:dyDescent="0.25">
      <c r="B21" s="66"/>
      <c r="C21" s="66"/>
      <c r="D21" s="66"/>
      <c r="E21" s="50"/>
      <c r="F21" s="66"/>
      <c r="G21" s="66"/>
      <c r="H21" s="50"/>
      <c r="K21" s="51"/>
      <c r="L21" s="51"/>
      <c r="M21" s="52"/>
      <c r="N21" s="53"/>
      <c r="O21" s="53"/>
      <c r="P21" s="50"/>
    </row>
    <row r="22" spans="2:16" s="47" customFormat="1" x14ac:dyDescent="0.25">
      <c r="B22" s="66"/>
      <c r="C22" s="66"/>
      <c r="D22" s="66"/>
      <c r="E22" s="50"/>
      <c r="F22" s="66"/>
      <c r="G22" s="66"/>
      <c r="H22" s="50"/>
      <c r="K22" s="51"/>
      <c r="L22" s="51"/>
      <c r="M22" s="52"/>
      <c r="N22" s="53"/>
      <c r="O22" s="53"/>
      <c r="P22" s="50"/>
    </row>
    <row r="23" spans="2:16" s="47" customFormat="1" x14ac:dyDescent="0.25">
      <c r="B23" s="66"/>
      <c r="C23" s="66"/>
      <c r="D23" s="66"/>
      <c r="E23" s="50"/>
      <c r="F23" s="66"/>
      <c r="G23" s="66"/>
      <c r="H23" s="50"/>
      <c r="K23" s="51"/>
      <c r="L23" s="51"/>
      <c r="M23" s="52"/>
      <c r="N23" s="53"/>
      <c r="O23" s="53"/>
      <c r="P23" s="50"/>
    </row>
    <row r="24" spans="2:16" s="47" customFormat="1" x14ac:dyDescent="0.25">
      <c r="B24" s="66"/>
      <c r="C24" s="66"/>
      <c r="D24" s="66"/>
      <c r="E24" s="50"/>
      <c r="F24" s="66"/>
      <c r="G24" s="66"/>
      <c r="H24" s="50"/>
      <c r="K24" s="51"/>
      <c r="L24" s="51"/>
      <c r="M24" s="52"/>
      <c r="N24" s="53"/>
      <c r="O24" s="53"/>
      <c r="P24" s="50"/>
    </row>
    <row r="25" spans="2:16" s="47" customFormat="1" x14ac:dyDescent="0.25">
      <c r="B25" s="66"/>
      <c r="C25" s="66"/>
      <c r="D25" s="66"/>
      <c r="E25" s="50"/>
      <c r="F25" s="66"/>
      <c r="G25" s="66"/>
      <c r="H25" s="50"/>
      <c r="K25" s="51"/>
      <c r="L25" s="51"/>
      <c r="M25" s="52"/>
      <c r="N25" s="53"/>
      <c r="O25" s="53"/>
      <c r="P25" s="50"/>
    </row>
    <row r="26" spans="2:16" s="47" customFormat="1" x14ac:dyDescent="0.25">
      <c r="B26" s="66"/>
      <c r="C26" s="66"/>
      <c r="D26" s="66"/>
      <c r="E26" s="50"/>
      <c r="F26" s="66"/>
      <c r="G26" s="66"/>
      <c r="H26" s="50"/>
      <c r="K26" s="51"/>
      <c r="L26" s="51"/>
      <c r="M26" s="52"/>
      <c r="N26" s="53"/>
      <c r="O26" s="53"/>
      <c r="P26" s="50"/>
    </row>
    <row r="27" spans="2:16" s="47" customFormat="1" x14ac:dyDescent="0.25">
      <c r="B27" s="94"/>
      <c r="C27" s="66"/>
      <c r="D27" s="66"/>
      <c r="E27" s="50"/>
      <c r="F27" s="66"/>
      <c r="G27" s="66"/>
      <c r="H27" s="50"/>
      <c r="K27" s="51"/>
      <c r="L27" s="51"/>
      <c r="M27" s="52"/>
      <c r="N27" s="53"/>
      <c r="O27" s="53"/>
      <c r="P27" s="50"/>
    </row>
    <row r="28" spans="2:16" s="47" customFormat="1" x14ac:dyDescent="0.25">
      <c r="B28" s="66"/>
      <c r="C28" s="66"/>
      <c r="D28" s="66"/>
      <c r="E28" s="50"/>
      <c r="F28" s="66"/>
      <c r="G28" s="66"/>
      <c r="H28" s="50"/>
      <c r="K28" s="51"/>
      <c r="L28" s="51"/>
      <c r="M28" s="52"/>
      <c r="N28" s="53"/>
      <c r="O28" s="53"/>
      <c r="P28" s="50"/>
    </row>
    <row r="29" spans="2:16" s="47" customFormat="1" x14ac:dyDescent="0.25">
      <c r="B29" s="66"/>
      <c r="C29" s="66"/>
      <c r="D29" s="66"/>
      <c r="E29" s="50"/>
      <c r="F29" s="66"/>
      <c r="G29" s="66"/>
      <c r="H29" s="50"/>
      <c r="K29" s="51"/>
      <c r="L29" s="51"/>
      <c r="M29" s="52"/>
      <c r="N29" s="53"/>
      <c r="O29" s="53"/>
      <c r="P29" s="50"/>
    </row>
    <row r="30" spans="2:16" s="47" customFormat="1" x14ac:dyDescent="0.25">
      <c r="B30" s="66"/>
      <c r="C30" s="66"/>
      <c r="D30" s="66"/>
      <c r="E30" s="50"/>
      <c r="F30" s="66"/>
      <c r="G30" s="66"/>
      <c r="H30" s="50"/>
      <c r="K30" s="51"/>
      <c r="L30" s="51"/>
      <c r="M30" s="52"/>
      <c r="N30" s="53"/>
      <c r="O30" s="53"/>
      <c r="P30" s="50"/>
    </row>
    <row r="31" spans="2:16" s="47" customFormat="1" x14ac:dyDescent="0.25">
      <c r="B31" s="66"/>
      <c r="C31" s="66"/>
      <c r="D31" s="66"/>
      <c r="E31" s="50"/>
      <c r="F31" s="66"/>
      <c r="G31" s="66"/>
      <c r="H31" s="50"/>
      <c r="K31" s="51"/>
      <c r="L31" s="51"/>
      <c r="M31" s="52"/>
      <c r="N31" s="53"/>
      <c r="O31" s="53"/>
      <c r="P31" s="50"/>
    </row>
    <row r="32" spans="2:16" s="47" customFormat="1" x14ac:dyDescent="0.25">
      <c r="B32" s="66"/>
      <c r="C32" s="66"/>
      <c r="D32" s="66"/>
      <c r="E32" s="50"/>
      <c r="F32" s="66"/>
      <c r="G32" s="66"/>
      <c r="H32" s="50"/>
      <c r="K32" s="51"/>
      <c r="L32" s="51"/>
      <c r="M32" s="52"/>
      <c r="N32" s="53"/>
      <c r="O32" s="53"/>
      <c r="P32" s="50"/>
    </row>
    <row r="33" spans="2:19" s="47" customFormat="1" x14ac:dyDescent="0.25">
      <c r="B33" s="66"/>
      <c r="C33" s="66"/>
      <c r="D33" s="66"/>
      <c r="E33" s="50"/>
      <c r="F33" s="66"/>
      <c r="G33" s="66"/>
      <c r="H33" s="50"/>
      <c r="K33" s="51"/>
      <c r="L33" s="51"/>
      <c r="M33" s="52"/>
      <c r="N33" s="53"/>
      <c r="O33" s="53"/>
      <c r="P33" s="50"/>
    </row>
    <row r="34" spans="2:19" s="47" customFormat="1" x14ac:dyDescent="0.25">
      <c r="B34" s="66"/>
      <c r="C34" s="66"/>
      <c r="D34" s="66"/>
      <c r="E34" s="50"/>
      <c r="F34" s="66"/>
      <c r="G34" s="66"/>
      <c r="H34" s="50"/>
      <c r="K34" s="51"/>
      <c r="L34" s="51"/>
      <c r="M34" s="52"/>
      <c r="N34" s="53"/>
      <c r="O34" s="53"/>
      <c r="P34" s="50"/>
    </row>
    <row r="35" spans="2:19" s="47" customFormat="1" x14ac:dyDescent="0.25">
      <c r="B35" s="66"/>
      <c r="C35" s="66"/>
      <c r="D35" s="66"/>
      <c r="E35" s="50"/>
      <c r="F35" s="66"/>
      <c r="G35" s="66"/>
      <c r="H35" s="50"/>
      <c r="K35" s="51"/>
      <c r="L35" s="51"/>
      <c r="M35" s="52"/>
      <c r="N35" s="53"/>
      <c r="O35" s="53"/>
      <c r="P35" s="50"/>
    </row>
    <row r="36" spans="2:19" s="47" customFormat="1" x14ac:dyDescent="0.25">
      <c r="B36" s="66"/>
      <c r="C36" s="66"/>
      <c r="D36" s="66"/>
      <c r="E36" s="50"/>
      <c r="F36" s="66"/>
      <c r="G36" s="66"/>
      <c r="H36" s="50"/>
      <c r="K36" s="51"/>
      <c r="L36" s="51"/>
      <c r="M36" s="52"/>
      <c r="N36" s="53"/>
      <c r="O36" s="53"/>
      <c r="P36" s="50"/>
    </row>
    <row r="37" spans="2:19" s="47" customFormat="1" x14ac:dyDescent="0.25">
      <c r="B37" s="65"/>
      <c r="C37" s="65"/>
      <c r="D37" s="65"/>
      <c r="E37" s="2"/>
      <c r="F37" s="65"/>
      <c r="G37" s="65"/>
      <c r="H37" s="2"/>
      <c r="I37"/>
      <c r="J37"/>
      <c r="K37" s="37"/>
      <c r="L37" s="37"/>
      <c r="M37" s="36"/>
      <c r="N37" s="38"/>
      <c r="O37" s="38"/>
      <c r="P37" s="2"/>
    </row>
    <row r="38" spans="2:19" s="47" customFormat="1" x14ac:dyDescent="0.25">
      <c r="B38" s="65"/>
      <c r="C38" s="65"/>
      <c r="D38" s="65"/>
      <c r="E38" s="2"/>
      <c r="F38" s="65"/>
      <c r="G38" s="65"/>
      <c r="H38" s="2"/>
      <c r="I38"/>
      <c r="J38"/>
      <c r="K38" s="37"/>
      <c r="L38" s="37"/>
      <c r="M38" s="36"/>
      <c r="N38" s="38"/>
      <c r="O38" s="38"/>
      <c r="P38" s="2"/>
      <c r="Q38"/>
      <c r="R38"/>
      <c r="S38"/>
    </row>
  </sheetData>
  <dataValidations count="1">
    <dataValidation type="list" allowBlank="1" showInputMessage="1" showErrorMessage="1" sqref="P3:P7" xr:uid="{474A0B40-19B5-49FF-AEB9-078E7DCA6071}">
      <formula1>"Oui,Non"</formula1>
    </dataValidation>
  </dataValidations>
  <hyperlinks>
    <hyperlink ref="H3" r:id="rId1" xr:uid="{361952FF-6100-41C2-BDA7-677DE3522221}"/>
    <hyperlink ref="I3" r:id="rId2" tooltip="Albus Dumbledore" display="https://harrypotter.fandom.com/fr/wiki/Albus_Dumbledore" xr:uid="{8537030E-7928-4735-BEB8-C0E5C5B0FF76}"/>
    <hyperlink ref="H4" r:id="rId3" xr:uid="{D92265F8-C649-43BC-A8A1-F555C30B1DE3}"/>
    <hyperlink ref="H5" r:id="rId4" xr:uid="{1683E903-C3ED-41F3-8462-A6353FEA695D}"/>
    <hyperlink ref="H6" r:id="rId5" xr:uid="{26D9793B-503D-427D-A70C-30261EA59F08}"/>
    <hyperlink ref="F3" r:id="rId6" tooltip="Little Whinging" display="https://harrypotter.fandom.com/fr/wiki/Little_Whinging" xr:uid="{CB932991-2C65-46E2-9E58-48F32F72004F}"/>
    <hyperlink ref="H7" r:id="rId7" xr:uid="{4D7D74DB-1FBD-400A-BE57-1BF930656F47}"/>
  </hyperlinks>
  <pageMargins left="0.7" right="0.7" top="0.75" bottom="0.75" header="0.3" footer="0.3"/>
  <pageSetup paperSize="9" orientation="portrait" r:id="rId8"/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C832-E1CF-473A-93B8-CFA4FEE78DD0}">
  <sheetPr codeName="Feuil2"/>
  <dimension ref="B1:BA50"/>
  <sheetViews>
    <sheetView showGridLines="0" showZero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W3" sqref="AW3"/>
    </sheetView>
  </sheetViews>
  <sheetFormatPr baseColWidth="10" defaultRowHeight="15" x14ac:dyDescent="0.25"/>
  <cols>
    <col min="1" max="1" width="2.7109375" style="45" customWidth="1"/>
    <col min="2" max="3" width="20.7109375" style="62" customWidth="1"/>
    <col min="4" max="4" width="25.7109375" style="62" customWidth="1"/>
    <col min="5" max="23" width="3.7109375" style="45" customWidth="1"/>
    <col min="24" max="24" width="5.5703125" style="110" customWidth="1"/>
    <col min="25" max="25" width="1.7109375" style="110" customWidth="1"/>
    <col min="26" max="44" width="4.7109375" style="45" customWidth="1"/>
    <col min="45" max="47" width="4.7109375" style="110" customWidth="1"/>
    <col min="48" max="48" width="1.7109375" style="110" customWidth="1"/>
    <col min="49" max="51" width="4.7109375" style="45" customWidth="1"/>
    <col min="52" max="52" width="1.7109375" style="110" customWidth="1"/>
    <col min="53" max="53" width="40.7109375" style="62" customWidth="1"/>
    <col min="54" max="16384" width="11.42578125" style="45"/>
  </cols>
  <sheetData>
    <row r="1" spans="2:53" x14ac:dyDescent="0.25">
      <c r="B1" s="45"/>
      <c r="C1" s="45"/>
      <c r="D1" s="45"/>
      <c r="X1" s="45"/>
      <c r="Y1" s="45"/>
      <c r="AS1" s="45"/>
      <c r="AT1" s="45"/>
      <c r="AU1" s="45"/>
      <c r="AV1" s="45"/>
      <c r="AZ1" s="45"/>
      <c r="BA1" s="45"/>
    </row>
    <row r="2" spans="2:53" ht="73.5" x14ac:dyDescent="0.25">
      <c r="B2" s="95" t="s">
        <v>4</v>
      </c>
      <c r="C2" s="96" t="s">
        <v>5</v>
      </c>
      <c r="D2" s="96" t="s">
        <v>79</v>
      </c>
      <c r="E2" s="139" t="s">
        <v>27</v>
      </c>
      <c r="F2" s="140">
        <f>E2+1</f>
        <v>43655</v>
      </c>
      <c r="G2" s="140">
        <f t="shared" ref="G2" si="0">F2+1</f>
        <v>43656</v>
      </c>
      <c r="H2" s="140">
        <f t="shared" ref="H2:W2" si="1">G2+1</f>
        <v>43657</v>
      </c>
      <c r="I2" s="140">
        <f t="shared" si="1"/>
        <v>43658</v>
      </c>
      <c r="J2" s="140">
        <f t="shared" si="1"/>
        <v>43659</v>
      </c>
      <c r="K2" s="140">
        <f t="shared" si="1"/>
        <v>43660</v>
      </c>
      <c r="L2" s="140">
        <f t="shared" si="1"/>
        <v>43661</v>
      </c>
      <c r="M2" s="140">
        <f t="shared" si="1"/>
        <v>43662</v>
      </c>
      <c r="N2" s="140">
        <f t="shared" si="1"/>
        <v>43663</v>
      </c>
      <c r="O2" s="140">
        <f t="shared" si="1"/>
        <v>43664</v>
      </c>
      <c r="P2" s="140">
        <f t="shared" si="1"/>
        <v>43665</v>
      </c>
      <c r="Q2" s="140">
        <f t="shared" si="1"/>
        <v>43666</v>
      </c>
      <c r="R2" s="140">
        <f t="shared" si="1"/>
        <v>43667</v>
      </c>
      <c r="S2" s="140">
        <f t="shared" si="1"/>
        <v>43668</v>
      </c>
      <c r="T2" s="140">
        <f t="shared" si="1"/>
        <v>43669</v>
      </c>
      <c r="U2" s="140">
        <f t="shared" si="1"/>
        <v>43670</v>
      </c>
      <c r="V2" s="140">
        <f t="shared" si="1"/>
        <v>43671</v>
      </c>
      <c r="W2" s="140">
        <f t="shared" si="1"/>
        <v>43672</v>
      </c>
      <c r="X2" s="138" t="s">
        <v>28</v>
      </c>
      <c r="Y2" s="143"/>
      <c r="Z2" s="139" t="s">
        <v>27</v>
      </c>
      <c r="AA2" s="140">
        <f>Z2+1</f>
        <v>43655</v>
      </c>
      <c r="AB2" s="140">
        <f t="shared" ref="AB2" si="2">AA2+1</f>
        <v>43656</v>
      </c>
      <c r="AC2" s="140">
        <f t="shared" ref="AC2:AR2" si="3">AB2+1</f>
        <v>43657</v>
      </c>
      <c r="AD2" s="140">
        <f t="shared" si="3"/>
        <v>43658</v>
      </c>
      <c r="AE2" s="140">
        <f t="shared" si="3"/>
        <v>43659</v>
      </c>
      <c r="AF2" s="140">
        <f t="shared" si="3"/>
        <v>43660</v>
      </c>
      <c r="AG2" s="140">
        <f t="shared" si="3"/>
        <v>43661</v>
      </c>
      <c r="AH2" s="140">
        <f t="shared" si="3"/>
        <v>43662</v>
      </c>
      <c r="AI2" s="140">
        <f t="shared" si="3"/>
        <v>43663</v>
      </c>
      <c r="AJ2" s="140">
        <f t="shared" si="3"/>
        <v>43664</v>
      </c>
      <c r="AK2" s="140">
        <f t="shared" si="3"/>
        <v>43665</v>
      </c>
      <c r="AL2" s="140">
        <f t="shared" si="3"/>
        <v>43666</v>
      </c>
      <c r="AM2" s="140">
        <f t="shared" si="3"/>
        <v>43667</v>
      </c>
      <c r="AN2" s="140">
        <f t="shared" si="3"/>
        <v>43668</v>
      </c>
      <c r="AO2" s="140">
        <f t="shared" si="3"/>
        <v>43669</v>
      </c>
      <c r="AP2" s="140">
        <f t="shared" si="3"/>
        <v>43670</v>
      </c>
      <c r="AQ2" s="140">
        <f t="shared" si="3"/>
        <v>43671</v>
      </c>
      <c r="AR2" s="140">
        <f t="shared" si="3"/>
        <v>43672</v>
      </c>
      <c r="AS2" s="141" t="s">
        <v>78</v>
      </c>
      <c r="AT2" s="141" t="s">
        <v>76</v>
      </c>
      <c r="AU2" s="138" t="s">
        <v>77</v>
      </c>
      <c r="AV2" s="143"/>
      <c r="AW2" s="139" t="s">
        <v>51</v>
      </c>
      <c r="AX2" s="140" t="s">
        <v>52</v>
      </c>
      <c r="AY2" s="142" t="s">
        <v>53</v>
      </c>
      <c r="AZ2" s="143"/>
      <c r="BA2" s="129" t="s">
        <v>54</v>
      </c>
    </row>
    <row r="3" spans="2:53" x14ac:dyDescent="0.25">
      <c r="B3" s="97" t="s">
        <v>29</v>
      </c>
      <c r="C3" s="98" t="str">
        <f>IFERROR(INDEX(T_BdD[Prénom],MATCH($B3,T_BdD[Nom],0)),"")</f>
        <v>Harrry</v>
      </c>
      <c r="D3" s="98" t="s">
        <v>1</v>
      </c>
      <c r="E3" s="119">
        <v>1</v>
      </c>
      <c r="F3" s="99"/>
      <c r="G3" s="99"/>
      <c r="H3" s="99"/>
      <c r="I3" s="99"/>
      <c r="J3" s="99"/>
      <c r="K3" s="99"/>
      <c r="L3" s="99">
        <v>1</v>
      </c>
      <c r="M3" s="99"/>
      <c r="N3" s="99"/>
      <c r="O3" s="99"/>
      <c r="P3" s="99"/>
      <c r="Q3" s="99"/>
      <c r="R3" s="99"/>
      <c r="S3" s="99">
        <v>1</v>
      </c>
      <c r="T3" s="99"/>
      <c r="U3" s="99"/>
      <c r="V3" s="99"/>
      <c r="W3" s="99"/>
      <c r="X3" s="120">
        <f>SUM(Planning!$E3:$W3)</f>
        <v>3</v>
      </c>
      <c r="Y3" s="144"/>
      <c r="Z3" s="121" t="s">
        <v>73</v>
      </c>
      <c r="AA3" s="102"/>
      <c r="AB3" s="102"/>
      <c r="AC3" s="102"/>
      <c r="AD3" s="102"/>
      <c r="AE3" s="102"/>
      <c r="AF3" s="102"/>
      <c r="AG3" s="102" t="s">
        <v>73</v>
      </c>
      <c r="AH3" s="102"/>
      <c r="AI3" s="102"/>
      <c r="AJ3" s="102"/>
      <c r="AK3" s="102"/>
      <c r="AL3" s="102"/>
      <c r="AM3" s="102"/>
      <c r="AN3" s="102" t="s">
        <v>73</v>
      </c>
      <c r="AO3" s="102"/>
      <c r="AP3" s="102"/>
      <c r="AQ3" s="102"/>
      <c r="AR3" s="102"/>
      <c r="AS3" s="111">
        <f>COUNTIF($Z3:$AR3,"M")</f>
        <v>0</v>
      </c>
      <c r="AT3" s="111">
        <f>COUNTIF($Z3:$AR3,"S")</f>
        <v>3</v>
      </c>
      <c r="AU3" s="120">
        <f>COUNTIF($Z3:$AR3,"M+S")</f>
        <v>0</v>
      </c>
      <c r="AV3" s="144"/>
      <c r="AW3" s="119"/>
      <c r="AX3" s="99"/>
      <c r="AY3" s="134"/>
      <c r="AZ3" s="144"/>
      <c r="BA3" s="130"/>
    </row>
    <row r="4" spans="2:53" x14ac:dyDescent="0.25">
      <c r="B4" s="100" t="s">
        <v>34</v>
      </c>
      <c r="C4" s="101" t="str">
        <f>IFERROR(INDEX(T_BdD[Prénom],MATCH($B4,T_BdD[Nom],0)),"")</f>
        <v>Peter</v>
      </c>
      <c r="D4" s="101"/>
      <c r="E4" s="121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22">
        <f>SUM(Planning!$E4:$W4)</f>
        <v>0</v>
      </c>
      <c r="Y4" s="144"/>
      <c r="Z4" s="123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11">
        <f t="shared" ref="AS4:AS50" si="4">COUNTIF($Z4:$AR4,"M")</f>
        <v>0</v>
      </c>
      <c r="AT4" s="111">
        <f t="shared" ref="AT4:AT50" si="5">COUNTIF($Z4:$AR4,"S")</f>
        <v>0</v>
      </c>
      <c r="AU4" s="120">
        <f t="shared" ref="AU4:AU50" si="6">COUNTIF($Z4:$AR4,"M+S")</f>
        <v>0</v>
      </c>
      <c r="AV4" s="144"/>
      <c r="AW4" s="121"/>
      <c r="AX4" s="102"/>
      <c r="AY4" s="135"/>
      <c r="AZ4" s="144"/>
      <c r="BA4" s="131" t="s">
        <v>9</v>
      </c>
    </row>
    <row r="5" spans="2:53" x14ac:dyDescent="0.25">
      <c r="B5" s="103" t="s">
        <v>41</v>
      </c>
      <c r="C5" s="104" t="str">
        <f>IFERROR(INDEX(T_BdD[Prénom],MATCH($B5,T_BdD[Nom],0)),"")</f>
        <v>Kévin</v>
      </c>
      <c r="D5" s="104"/>
      <c r="E5" s="123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22">
        <f>SUM(Planning!$E5:$W5)</f>
        <v>0</v>
      </c>
      <c r="Y5" s="144"/>
      <c r="Z5" s="121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11">
        <f t="shared" si="4"/>
        <v>0</v>
      </c>
      <c r="AT5" s="111">
        <f t="shared" si="5"/>
        <v>0</v>
      </c>
      <c r="AU5" s="120">
        <f t="shared" si="6"/>
        <v>0</v>
      </c>
      <c r="AV5" s="144"/>
      <c r="AW5" s="123"/>
      <c r="AX5" s="105"/>
      <c r="AY5" s="136"/>
      <c r="AZ5" s="144"/>
      <c r="BA5" s="132" t="s">
        <v>13</v>
      </c>
    </row>
    <row r="6" spans="2:53" x14ac:dyDescent="0.25">
      <c r="B6" s="100" t="s">
        <v>45</v>
      </c>
      <c r="C6" s="101" t="str">
        <f>IFERROR(INDEX(T_BdD[Prénom],MATCH($B6,T_BdD[Nom],0)),"")</f>
        <v>Charlie</v>
      </c>
      <c r="D6" s="101" t="s">
        <v>114</v>
      </c>
      <c r="E6" s="121"/>
      <c r="F6" s="102"/>
      <c r="G6" s="102"/>
      <c r="H6" s="102"/>
      <c r="I6" s="102"/>
      <c r="J6" s="102"/>
      <c r="K6" s="102"/>
      <c r="L6" s="102">
        <v>1</v>
      </c>
      <c r="M6" s="102">
        <v>1</v>
      </c>
      <c r="N6" s="102">
        <v>1</v>
      </c>
      <c r="O6" s="102"/>
      <c r="P6" s="102"/>
      <c r="Q6" s="102"/>
      <c r="R6" s="102"/>
      <c r="S6" s="102"/>
      <c r="T6" s="102"/>
      <c r="U6" s="102"/>
      <c r="V6" s="102"/>
      <c r="W6" s="102"/>
      <c r="X6" s="122">
        <f>SUM(Planning!$E6:$W6)</f>
        <v>3</v>
      </c>
      <c r="Y6" s="144"/>
      <c r="Z6" s="123" t="s">
        <v>72</v>
      </c>
      <c r="AA6" s="105" t="s">
        <v>72</v>
      </c>
      <c r="AB6" s="105" t="s">
        <v>72</v>
      </c>
      <c r="AC6" s="105" t="s">
        <v>72</v>
      </c>
      <c r="AD6" s="105" t="s">
        <v>72</v>
      </c>
      <c r="AE6" s="105"/>
      <c r="AF6" s="105"/>
      <c r="AG6" s="105" t="s">
        <v>72</v>
      </c>
      <c r="AH6" s="105" t="s">
        <v>73</v>
      </c>
      <c r="AI6" s="105" t="s">
        <v>74</v>
      </c>
      <c r="AJ6" s="105"/>
      <c r="AK6" s="105"/>
      <c r="AL6" s="105"/>
      <c r="AM6" s="105"/>
      <c r="AN6" s="105" t="s">
        <v>74</v>
      </c>
      <c r="AO6" s="105" t="s">
        <v>74</v>
      </c>
      <c r="AP6" s="105" t="s">
        <v>74</v>
      </c>
      <c r="AQ6" s="105" t="s">
        <v>74</v>
      </c>
      <c r="AR6" s="105" t="s">
        <v>74</v>
      </c>
      <c r="AS6" s="111">
        <f t="shared" si="4"/>
        <v>6</v>
      </c>
      <c r="AT6" s="111">
        <f t="shared" si="5"/>
        <v>1</v>
      </c>
      <c r="AU6" s="120">
        <f t="shared" si="6"/>
        <v>6</v>
      </c>
      <c r="AV6" s="144"/>
      <c r="AW6" s="121">
        <v>1</v>
      </c>
      <c r="AX6" s="102"/>
      <c r="AY6" s="135">
        <v>1</v>
      </c>
      <c r="AZ6" s="144"/>
      <c r="BA6" s="131"/>
    </row>
    <row r="7" spans="2:53" x14ac:dyDescent="0.25">
      <c r="B7" s="103" t="s">
        <v>106</v>
      </c>
      <c r="C7" s="104" t="str">
        <f>IFERROR(INDEX(T_BdD[Prénom],MATCH($B7,T_BdD[Nom],0)),"")</f>
        <v>Sarah</v>
      </c>
      <c r="D7" s="104"/>
      <c r="E7" s="123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22">
        <f>SUM(Planning!$E7:$W7)</f>
        <v>0</v>
      </c>
      <c r="Y7" s="144"/>
      <c r="Z7" s="121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11">
        <f t="shared" si="4"/>
        <v>0</v>
      </c>
      <c r="AT7" s="111">
        <f t="shared" si="5"/>
        <v>0</v>
      </c>
      <c r="AU7" s="120">
        <f t="shared" si="6"/>
        <v>0</v>
      </c>
      <c r="AV7" s="144"/>
      <c r="AW7" s="123"/>
      <c r="AX7" s="105"/>
      <c r="AY7" s="136"/>
      <c r="AZ7" s="144"/>
      <c r="BA7" s="132" t="s">
        <v>11</v>
      </c>
    </row>
    <row r="8" spans="2:53" x14ac:dyDescent="0.25">
      <c r="B8" s="100"/>
      <c r="C8" s="101" t="str">
        <f>IFERROR(INDEX(T_BdD[Prénom],MATCH($B8,T_BdD[Nom],0)),"")</f>
        <v/>
      </c>
      <c r="D8" s="101"/>
      <c r="E8" s="121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22">
        <f>SUM(Planning!$E8:$W8)</f>
        <v>0</v>
      </c>
      <c r="Y8" s="144"/>
      <c r="Z8" s="123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11">
        <f t="shared" si="4"/>
        <v>0</v>
      </c>
      <c r="AT8" s="111">
        <f t="shared" si="5"/>
        <v>0</v>
      </c>
      <c r="AU8" s="120">
        <f t="shared" si="6"/>
        <v>0</v>
      </c>
      <c r="AV8" s="144"/>
      <c r="AW8" s="121"/>
      <c r="AX8" s="102"/>
      <c r="AY8" s="135"/>
      <c r="AZ8" s="144"/>
      <c r="BA8" s="131"/>
    </row>
    <row r="9" spans="2:53" x14ac:dyDescent="0.25">
      <c r="B9" s="103"/>
      <c r="C9" s="104" t="str">
        <f>IFERROR(INDEX(T_BdD[Prénom],MATCH($B9,T_BdD[Nom],0)),"")</f>
        <v/>
      </c>
      <c r="D9" s="104"/>
      <c r="E9" s="123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22">
        <f>SUM(Planning!$E9:$W9)</f>
        <v>0</v>
      </c>
      <c r="Y9" s="144"/>
      <c r="Z9" s="121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11">
        <f t="shared" si="4"/>
        <v>0</v>
      </c>
      <c r="AT9" s="111">
        <f t="shared" si="5"/>
        <v>0</v>
      </c>
      <c r="AU9" s="120">
        <f t="shared" si="6"/>
        <v>0</v>
      </c>
      <c r="AV9" s="144"/>
      <c r="AW9" s="123"/>
      <c r="AX9" s="105"/>
      <c r="AY9" s="136"/>
      <c r="AZ9" s="144"/>
      <c r="BA9" s="132"/>
    </row>
    <row r="10" spans="2:53" x14ac:dyDescent="0.25">
      <c r="B10" s="100"/>
      <c r="C10" s="101" t="str">
        <f>IFERROR(INDEX(T_BdD[Prénom],MATCH($B10,T_BdD[Nom],0)),"")</f>
        <v/>
      </c>
      <c r="D10" s="101"/>
      <c r="E10" s="121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22">
        <f>SUM(Planning!$E10:$W10)</f>
        <v>0</v>
      </c>
      <c r="Y10" s="144"/>
      <c r="Z10" s="123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11">
        <f t="shared" si="4"/>
        <v>0</v>
      </c>
      <c r="AT10" s="111">
        <f t="shared" si="5"/>
        <v>0</v>
      </c>
      <c r="AU10" s="120">
        <f t="shared" si="6"/>
        <v>0</v>
      </c>
      <c r="AV10" s="144"/>
      <c r="AW10" s="121"/>
      <c r="AX10" s="102"/>
      <c r="AY10" s="135"/>
      <c r="AZ10" s="144"/>
      <c r="BA10" s="131"/>
    </row>
    <row r="11" spans="2:53" x14ac:dyDescent="0.25">
      <c r="B11" s="103"/>
      <c r="C11" s="104" t="str">
        <f>IFERROR(INDEX(T_BdD[Prénom],MATCH($B11,T_BdD[Nom],0)),"")</f>
        <v/>
      </c>
      <c r="D11" s="104"/>
      <c r="E11" s="123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22">
        <f>SUM(Planning!$E11:$W11)</f>
        <v>0</v>
      </c>
      <c r="Y11" s="144"/>
      <c r="Z11" s="121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11">
        <f t="shared" si="4"/>
        <v>0</v>
      </c>
      <c r="AT11" s="111">
        <f t="shared" si="5"/>
        <v>0</v>
      </c>
      <c r="AU11" s="120">
        <f t="shared" si="6"/>
        <v>0</v>
      </c>
      <c r="AV11" s="144"/>
      <c r="AW11" s="123"/>
      <c r="AX11" s="105"/>
      <c r="AY11" s="136"/>
      <c r="AZ11" s="144"/>
      <c r="BA11" s="132"/>
    </row>
    <row r="12" spans="2:53" x14ac:dyDescent="0.25">
      <c r="B12" s="100"/>
      <c r="C12" s="101" t="str">
        <f>IFERROR(INDEX(T_BdD[Prénom],MATCH($B12,T_BdD[Nom],0)),"")</f>
        <v/>
      </c>
      <c r="D12" s="101"/>
      <c r="E12" s="121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22">
        <f>SUM(Planning!$E12:$W12)</f>
        <v>0</v>
      </c>
      <c r="Y12" s="144"/>
      <c r="Z12" s="123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11">
        <f t="shared" si="4"/>
        <v>0</v>
      </c>
      <c r="AT12" s="111">
        <f t="shared" si="5"/>
        <v>0</v>
      </c>
      <c r="AU12" s="120">
        <f t="shared" si="6"/>
        <v>0</v>
      </c>
      <c r="AV12" s="144"/>
      <c r="AW12" s="121"/>
      <c r="AX12" s="102"/>
      <c r="AY12" s="135"/>
      <c r="AZ12" s="144"/>
      <c r="BA12" s="131"/>
    </row>
    <row r="13" spans="2:53" x14ac:dyDescent="0.25">
      <c r="B13" s="103"/>
      <c r="C13" s="104" t="str">
        <f>IFERROR(INDEX(T_BdD[Prénom],MATCH($B13,T_BdD[Nom],0)),"")</f>
        <v/>
      </c>
      <c r="D13" s="104"/>
      <c r="E13" s="123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22">
        <f>SUM(Planning!$E13:$W13)</f>
        <v>0</v>
      </c>
      <c r="Y13" s="144"/>
      <c r="Z13" s="121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11">
        <f t="shared" si="4"/>
        <v>0</v>
      </c>
      <c r="AT13" s="111">
        <f t="shared" si="5"/>
        <v>0</v>
      </c>
      <c r="AU13" s="120">
        <f t="shared" si="6"/>
        <v>0</v>
      </c>
      <c r="AV13" s="144"/>
      <c r="AW13" s="123"/>
      <c r="AX13" s="105"/>
      <c r="AY13" s="136"/>
      <c r="AZ13" s="144"/>
      <c r="BA13" s="132"/>
    </row>
    <row r="14" spans="2:53" x14ac:dyDescent="0.25">
      <c r="B14" s="100"/>
      <c r="C14" s="101" t="str">
        <f>IFERROR(INDEX(T_BdD[Prénom],MATCH($B14,T_BdD[Nom],0)),"")</f>
        <v/>
      </c>
      <c r="D14" s="101"/>
      <c r="E14" s="121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22">
        <f>SUM(Planning!$E14:$W14)</f>
        <v>0</v>
      </c>
      <c r="Y14" s="144"/>
      <c r="Z14" s="123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11">
        <f t="shared" si="4"/>
        <v>0</v>
      </c>
      <c r="AT14" s="111">
        <f t="shared" si="5"/>
        <v>0</v>
      </c>
      <c r="AU14" s="120">
        <f t="shared" si="6"/>
        <v>0</v>
      </c>
      <c r="AV14" s="144"/>
      <c r="AW14" s="121"/>
      <c r="AX14" s="102"/>
      <c r="AY14" s="135"/>
      <c r="AZ14" s="144"/>
      <c r="BA14" s="131"/>
    </row>
    <row r="15" spans="2:53" x14ac:dyDescent="0.25">
      <c r="B15" s="103"/>
      <c r="C15" s="104" t="str">
        <f>IFERROR(INDEX(T_BdD[Prénom],MATCH($B15,T_BdD[Nom],0)),"")</f>
        <v/>
      </c>
      <c r="D15" s="104"/>
      <c r="E15" s="123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22">
        <f>SUM(Planning!$E15:$W15)</f>
        <v>0</v>
      </c>
      <c r="Y15" s="144"/>
      <c r="Z15" s="121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11">
        <f t="shared" si="4"/>
        <v>0</v>
      </c>
      <c r="AT15" s="111">
        <f t="shared" si="5"/>
        <v>0</v>
      </c>
      <c r="AU15" s="120">
        <f t="shared" si="6"/>
        <v>0</v>
      </c>
      <c r="AV15" s="144"/>
      <c r="AW15" s="123"/>
      <c r="AX15" s="105"/>
      <c r="AY15" s="136"/>
      <c r="AZ15" s="144"/>
      <c r="BA15" s="132"/>
    </row>
    <row r="16" spans="2:53" x14ac:dyDescent="0.25">
      <c r="B16" s="100"/>
      <c r="C16" s="101" t="str">
        <f>IFERROR(INDEX(T_BdD[Prénom],MATCH($B16,T_BdD[Nom],0)),"")</f>
        <v/>
      </c>
      <c r="D16" s="101"/>
      <c r="E16" s="121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22">
        <f>SUM(Planning!$E16:$W16)</f>
        <v>0</v>
      </c>
      <c r="Y16" s="144"/>
      <c r="Z16" s="123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11">
        <f t="shared" si="4"/>
        <v>0</v>
      </c>
      <c r="AT16" s="111">
        <f t="shared" si="5"/>
        <v>0</v>
      </c>
      <c r="AU16" s="120">
        <f t="shared" si="6"/>
        <v>0</v>
      </c>
      <c r="AV16" s="144"/>
      <c r="AW16" s="121"/>
      <c r="AX16" s="102"/>
      <c r="AY16" s="135"/>
      <c r="AZ16" s="144"/>
      <c r="BA16" s="131"/>
    </row>
    <row r="17" spans="2:53" x14ac:dyDescent="0.25">
      <c r="B17" s="103"/>
      <c r="C17" s="104" t="str">
        <f>IFERROR(INDEX(T_BdD[Prénom],MATCH($B17,T_BdD[Nom],0)),"")</f>
        <v/>
      </c>
      <c r="D17" s="104"/>
      <c r="E17" s="123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22">
        <f>SUM(Planning!$E17:$W17)</f>
        <v>0</v>
      </c>
      <c r="Y17" s="144"/>
      <c r="Z17" s="121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11">
        <f t="shared" si="4"/>
        <v>0</v>
      </c>
      <c r="AT17" s="111">
        <f t="shared" si="5"/>
        <v>0</v>
      </c>
      <c r="AU17" s="120">
        <f t="shared" si="6"/>
        <v>0</v>
      </c>
      <c r="AV17" s="144"/>
      <c r="AW17" s="123"/>
      <c r="AX17" s="105"/>
      <c r="AY17" s="136"/>
      <c r="AZ17" s="144"/>
      <c r="BA17" s="132"/>
    </row>
    <row r="18" spans="2:53" x14ac:dyDescent="0.25">
      <c r="B18" s="100"/>
      <c r="C18" s="101" t="str">
        <f>IFERROR(INDEX(T_BdD[Prénom],MATCH($B18,T_BdD[Nom],0)),"")</f>
        <v/>
      </c>
      <c r="D18" s="101"/>
      <c r="E18" s="121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22">
        <f>SUM(Planning!$E18:$W18)</f>
        <v>0</v>
      </c>
      <c r="Y18" s="144"/>
      <c r="Z18" s="123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11">
        <f t="shared" si="4"/>
        <v>0</v>
      </c>
      <c r="AT18" s="111">
        <f t="shared" si="5"/>
        <v>0</v>
      </c>
      <c r="AU18" s="120">
        <f t="shared" si="6"/>
        <v>0</v>
      </c>
      <c r="AV18" s="144"/>
      <c r="AW18" s="121"/>
      <c r="AX18" s="102"/>
      <c r="AY18" s="135"/>
      <c r="AZ18" s="144"/>
      <c r="BA18" s="131"/>
    </row>
    <row r="19" spans="2:53" x14ac:dyDescent="0.25">
      <c r="B19" s="103"/>
      <c r="C19" s="104" t="str">
        <f>IFERROR(INDEX(T_BdD[Prénom],MATCH($B19,T_BdD[Nom],0)),"")</f>
        <v/>
      </c>
      <c r="D19" s="104"/>
      <c r="E19" s="123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22">
        <f>SUM(Planning!$E19:$W19)</f>
        <v>0</v>
      </c>
      <c r="Y19" s="144"/>
      <c r="Z19" s="121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11">
        <f t="shared" si="4"/>
        <v>0</v>
      </c>
      <c r="AT19" s="111">
        <f t="shared" si="5"/>
        <v>0</v>
      </c>
      <c r="AU19" s="120">
        <f t="shared" si="6"/>
        <v>0</v>
      </c>
      <c r="AV19" s="144"/>
      <c r="AW19" s="123"/>
      <c r="AX19" s="105"/>
      <c r="AY19" s="136"/>
      <c r="AZ19" s="144"/>
      <c r="BA19" s="132"/>
    </row>
    <row r="20" spans="2:53" x14ac:dyDescent="0.25">
      <c r="B20" s="100"/>
      <c r="C20" s="101" t="str">
        <f>IFERROR(INDEX(T_BdD[Prénom],MATCH($B20,T_BdD[Nom],0)),"")</f>
        <v/>
      </c>
      <c r="D20" s="101"/>
      <c r="E20" s="121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22">
        <f>SUM(Planning!$E20:$W20)</f>
        <v>0</v>
      </c>
      <c r="Y20" s="144"/>
      <c r="Z20" s="123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11">
        <f t="shared" si="4"/>
        <v>0</v>
      </c>
      <c r="AT20" s="111">
        <f t="shared" si="5"/>
        <v>0</v>
      </c>
      <c r="AU20" s="120">
        <f t="shared" si="6"/>
        <v>0</v>
      </c>
      <c r="AV20" s="144"/>
      <c r="AW20" s="121"/>
      <c r="AX20" s="102"/>
      <c r="AY20" s="135"/>
      <c r="AZ20" s="144"/>
      <c r="BA20" s="131"/>
    </row>
    <row r="21" spans="2:53" x14ac:dyDescent="0.25">
      <c r="B21" s="103"/>
      <c r="C21" s="104" t="str">
        <f>IFERROR(INDEX(T_BdD[Prénom],MATCH($B21,T_BdD[Nom],0)),"")</f>
        <v/>
      </c>
      <c r="D21" s="104"/>
      <c r="E21" s="123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22">
        <f>SUM(Planning!$E21:$W21)</f>
        <v>0</v>
      </c>
      <c r="Y21" s="144"/>
      <c r="Z21" s="121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11">
        <f t="shared" si="4"/>
        <v>0</v>
      </c>
      <c r="AT21" s="111">
        <f t="shared" si="5"/>
        <v>0</v>
      </c>
      <c r="AU21" s="120">
        <f t="shared" si="6"/>
        <v>0</v>
      </c>
      <c r="AV21" s="144"/>
      <c r="AW21" s="123"/>
      <c r="AX21" s="105"/>
      <c r="AY21" s="136"/>
      <c r="AZ21" s="144"/>
      <c r="BA21" s="132"/>
    </row>
    <row r="22" spans="2:53" x14ac:dyDescent="0.25">
      <c r="B22" s="100"/>
      <c r="C22" s="101" t="str">
        <f>IFERROR(INDEX(T_BdD[Prénom],MATCH($B22,T_BdD[Nom],0)),"")</f>
        <v/>
      </c>
      <c r="D22" s="101"/>
      <c r="E22" s="121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22">
        <f>SUM(Planning!$E22:$W22)</f>
        <v>0</v>
      </c>
      <c r="Y22" s="144"/>
      <c r="Z22" s="123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11">
        <f t="shared" si="4"/>
        <v>0</v>
      </c>
      <c r="AT22" s="111">
        <f t="shared" si="5"/>
        <v>0</v>
      </c>
      <c r="AU22" s="120">
        <f t="shared" si="6"/>
        <v>0</v>
      </c>
      <c r="AV22" s="144"/>
      <c r="AW22" s="121"/>
      <c r="AX22" s="102"/>
      <c r="AY22" s="135"/>
      <c r="AZ22" s="144"/>
      <c r="BA22" s="131"/>
    </row>
    <row r="23" spans="2:53" x14ac:dyDescent="0.25">
      <c r="B23" s="103"/>
      <c r="C23" s="104" t="str">
        <f>IFERROR(INDEX(T_BdD[Prénom],MATCH($B23,T_BdD[Nom],0)),"")</f>
        <v/>
      </c>
      <c r="D23" s="104"/>
      <c r="E23" s="123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22">
        <f>SUM(Planning!$E23:$W23)</f>
        <v>0</v>
      </c>
      <c r="Y23" s="144"/>
      <c r="Z23" s="121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11">
        <f t="shared" si="4"/>
        <v>0</v>
      </c>
      <c r="AT23" s="111">
        <f t="shared" si="5"/>
        <v>0</v>
      </c>
      <c r="AU23" s="120">
        <f t="shared" si="6"/>
        <v>0</v>
      </c>
      <c r="AV23" s="144"/>
      <c r="AW23" s="123"/>
      <c r="AX23" s="105"/>
      <c r="AY23" s="136"/>
      <c r="AZ23" s="144"/>
      <c r="BA23" s="132"/>
    </row>
    <row r="24" spans="2:53" x14ac:dyDescent="0.25">
      <c r="B24" s="100"/>
      <c r="C24" s="101" t="str">
        <f>IFERROR(INDEX(T_BdD[Prénom],MATCH($B24,T_BdD[Nom],0)),"")</f>
        <v/>
      </c>
      <c r="D24" s="101"/>
      <c r="E24" s="121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22">
        <f>SUM(Planning!$E24:$W24)</f>
        <v>0</v>
      </c>
      <c r="Y24" s="144"/>
      <c r="Z24" s="123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11">
        <f t="shared" si="4"/>
        <v>0</v>
      </c>
      <c r="AT24" s="111">
        <f t="shared" si="5"/>
        <v>0</v>
      </c>
      <c r="AU24" s="120">
        <f t="shared" si="6"/>
        <v>0</v>
      </c>
      <c r="AV24" s="144"/>
      <c r="AW24" s="121"/>
      <c r="AX24" s="102"/>
      <c r="AY24" s="135"/>
      <c r="AZ24" s="144"/>
      <c r="BA24" s="131"/>
    </row>
    <row r="25" spans="2:53" x14ac:dyDescent="0.25">
      <c r="B25" s="103"/>
      <c r="C25" s="104" t="str">
        <f>IFERROR(INDEX(T_BdD[Prénom],MATCH($B25,T_BdD[Nom],0)),"")</f>
        <v/>
      </c>
      <c r="D25" s="104"/>
      <c r="E25" s="123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22">
        <f>SUM(Planning!$E25:$W25)</f>
        <v>0</v>
      </c>
      <c r="Y25" s="144"/>
      <c r="Z25" s="121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11">
        <f t="shared" si="4"/>
        <v>0</v>
      </c>
      <c r="AT25" s="111">
        <f t="shared" si="5"/>
        <v>0</v>
      </c>
      <c r="AU25" s="120">
        <f t="shared" si="6"/>
        <v>0</v>
      </c>
      <c r="AV25" s="144"/>
      <c r="AW25" s="123"/>
      <c r="AX25" s="105"/>
      <c r="AY25" s="136"/>
      <c r="AZ25" s="144"/>
      <c r="BA25" s="132"/>
    </row>
    <row r="26" spans="2:53" x14ac:dyDescent="0.25">
      <c r="B26" s="100"/>
      <c r="C26" s="101" t="str">
        <f>IFERROR(INDEX(T_BdD[Prénom],MATCH($B26,T_BdD[Nom],0)),"")</f>
        <v/>
      </c>
      <c r="D26" s="101"/>
      <c r="E26" s="121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22">
        <f>SUM(Planning!$E26:$W26)</f>
        <v>0</v>
      </c>
      <c r="Y26" s="144"/>
      <c r="Z26" s="123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11">
        <f t="shared" si="4"/>
        <v>0</v>
      </c>
      <c r="AT26" s="111">
        <f t="shared" si="5"/>
        <v>0</v>
      </c>
      <c r="AU26" s="120">
        <f t="shared" si="6"/>
        <v>0</v>
      </c>
      <c r="AV26" s="144"/>
      <c r="AW26" s="121"/>
      <c r="AX26" s="102"/>
      <c r="AY26" s="135"/>
      <c r="AZ26" s="144"/>
      <c r="BA26" s="131"/>
    </row>
    <row r="27" spans="2:53" x14ac:dyDescent="0.25">
      <c r="B27" s="103"/>
      <c r="C27" s="104" t="str">
        <f>IFERROR(INDEX(T_BdD[Prénom],MATCH($B27,T_BdD[Nom],0)),"")</f>
        <v/>
      </c>
      <c r="D27" s="104"/>
      <c r="E27" s="123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22">
        <f>SUM(Planning!$E27:$W27)</f>
        <v>0</v>
      </c>
      <c r="Y27" s="144"/>
      <c r="Z27" s="121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11">
        <f t="shared" si="4"/>
        <v>0</v>
      </c>
      <c r="AT27" s="111">
        <f t="shared" si="5"/>
        <v>0</v>
      </c>
      <c r="AU27" s="120">
        <f t="shared" si="6"/>
        <v>0</v>
      </c>
      <c r="AV27" s="144"/>
      <c r="AW27" s="123"/>
      <c r="AX27" s="105"/>
      <c r="AY27" s="136"/>
      <c r="AZ27" s="144"/>
      <c r="BA27" s="132"/>
    </row>
    <row r="28" spans="2:53" x14ac:dyDescent="0.25">
      <c r="B28" s="100"/>
      <c r="C28" s="101" t="str">
        <f>IFERROR(INDEX(T_BdD[Prénom],MATCH($B28,T_BdD[Nom],0)),"")</f>
        <v/>
      </c>
      <c r="D28" s="101"/>
      <c r="E28" s="121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22">
        <f>SUM(Planning!$E28:$W28)</f>
        <v>0</v>
      </c>
      <c r="Y28" s="144"/>
      <c r="Z28" s="123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11">
        <f t="shared" si="4"/>
        <v>0</v>
      </c>
      <c r="AT28" s="111">
        <f t="shared" si="5"/>
        <v>0</v>
      </c>
      <c r="AU28" s="120">
        <f t="shared" si="6"/>
        <v>0</v>
      </c>
      <c r="AV28" s="144"/>
      <c r="AW28" s="121"/>
      <c r="AX28" s="102"/>
      <c r="AY28" s="135"/>
      <c r="AZ28" s="144"/>
      <c r="BA28" s="131"/>
    </row>
    <row r="29" spans="2:53" x14ac:dyDescent="0.25">
      <c r="B29" s="103"/>
      <c r="C29" s="104" t="str">
        <f>IFERROR(INDEX(T_BdD[Prénom],MATCH($B29,T_BdD[Nom],0)),"")</f>
        <v/>
      </c>
      <c r="D29" s="104"/>
      <c r="E29" s="123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22">
        <f>SUM(Planning!$E29:$W29)</f>
        <v>0</v>
      </c>
      <c r="Y29" s="144"/>
      <c r="Z29" s="121"/>
      <c r="AA29" s="102"/>
      <c r="AB29" s="102"/>
      <c r="AC29" s="102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11">
        <f t="shared" si="4"/>
        <v>0</v>
      </c>
      <c r="AT29" s="111">
        <f t="shared" si="5"/>
        <v>0</v>
      </c>
      <c r="AU29" s="120">
        <f t="shared" si="6"/>
        <v>0</v>
      </c>
      <c r="AV29" s="144"/>
      <c r="AW29" s="123"/>
      <c r="AX29" s="105"/>
      <c r="AY29" s="136"/>
      <c r="AZ29" s="144"/>
      <c r="BA29" s="132"/>
    </row>
    <row r="30" spans="2:53" x14ac:dyDescent="0.25">
      <c r="B30" s="100"/>
      <c r="C30" s="101" t="str">
        <f>IFERROR(INDEX(T_BdD[Prénom],MATCH($B30,T_BdD[Nom],0)),"")</f>
        <v/>
      </c>
      <c r="D30" s="101"/>
      <c r="E30" s="121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22">
        <f>SUM(Planning!$E30:$W30)</f>
        <v>0</v>
      </c>
      <c r="Y30" s="144"/>
      <c r="Z30" s="123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11">
        <f t="shared" si="4"/>
        <v>0</v>
      </c>
      <c r="AT30" s="111">
        <f t="shared" si="5"/>
        <v>0</v>
      </c>
      <c r="AU30" s="120">
        <f t="shared" si="6"/>
        <v>0</v>
      </c>
      <c r="AV30" s="144"/>
      <c r="AW30" s="121"/>
      <c r="AX30" s="102"/>
      <c r="AY30" s="135"/>
      <c r="AZ30" s="144"/>
      <c r="BA30" s="131"/>
    </row>
    <row r="31" spans="2:53" x14ac:dyDescent="0.25">
      <c r="B31" s="103"/>
      <c r="C31" s="104" t="str">
        <f>IFERROR(INDEX(T_BdD[Prénom],MATCH($B31,T_BdD[Nom],0)),"")</f>
        <v/>
      </c>
      <c r="D31" s="104"/>
      <c r="E31" s="123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22">
        <f>SUM(Planning!$E31:$W31)</f>
        <v>0</v>
      </c>
      <c r="Y31" s="144"/>
      <c r="Z31" s="121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11">
        <f t="shared" si="4"/>
        <v>0</v>
      </c>
      <c r="AT31" s="111">
        <f t="shared" si="5"/>
        <v>0</v>
      </c>
      <c r="AU31" s="120">
        <f t="shared" si="6"/>
        <v>0</v>
      </c>
      <c r="AV31" s="144"/>
      <c r="AW31" s="123"/>
      <c r="AX31" s="105"/>
      <c r="AY31" s="136"/>
      <c r="AZ31" s="144"/>
      <c r="BA31" s="132"/>
    </row>
    <row r="32" spans="2:53" x14ac:dyDescent="0.25">
      <c r="B32" s="100"/>
      <c r="C32" s="101" t="str">
        <f>IFERROR(INDEX(T_BdD[Prénom],MATCH($B32,T_BdD[Nom],0)),"")</f>
        <v/>
      </c>
      <c r="D32" s="101"/>
      <c r="E32" s="121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22">
        <f>SUM(Planning!$E32:$W32)</f>
        <v>0</v>
      </c>
      <c r="Y32" s="144"/>
      <c r="Z32" s="123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11">
        <f t="shared" si="4"/>
        <v>0</v>
      </c>
      <c r="AT32" s="111">
        <f t="shared" si="5"/>
        <v>0</v>
      </c>
      <c r="AU32" s="120">
        <f t="shared" si="6"/>
        <v>0</v>
      </c>
      <c r="AV32" s="144"/>
      <c r="AW32" s="121"/>
      <c r="AX32" s="102"/>
      <c r="AY32" s="135"/>
      <c r="AZ32" s="144"/>
      <c r="BA32" s="131"/>
    </row>
    <row r="33" spans="2:53" x14ac:dyDescent="0.25">
      <c r="B33" s="103"/>
      <c r="C33" s="104" t="str">
        <f>IFERROR(INDEX(T_BdD[Prénom],MATCH($B33,T_BdD[Nom],0)),"")</f>
        <v/>
      </c>
      <c r="D33" s="104"/>
      <c r="E33" s="123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22">
        <f>SUM(Planning!$E33:$W33)</f>
        <v>0</v>
      </c>
      <c r="Y33" s="144"/>
      <c r="Z33" s="121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11">
        <f t="shared" si="4"/>
        <v>0</v>
      </c>
      <c r="AT33" s="111">
        <f t="shared" si="5"/>
        <v>0</v>
      </c>
      <c r="AU33" s="120">
        <f t="shared" si="6"/>
        <v>0</v>
      </c>
      <c r="AV33" s="144"/>
      <c r="AW33" s="123"/>
      <c r="AX33" s="105"/>
      <c r="AY33" s="136"/>
      <c r="AZ33" s="144"/>
      <c r="BA33" s="132"/>
    </row>
    <row r="34" spans="2:53" x14ac:dyDescent="0.25">
      <c r="B34" s="100"/>
      <c r="C34" s="101" t="str">
        <f>IFERROR(INDEX(T_BdD[Prénom],MATCH($B34,T_BdD[Nom],0)),"")</f>
        <v/>
      </c>
      <c r="D34" s="101"/>
      <c r="E34" s="121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22">
        <f>SUM(Planning!$E34:$W34)</f>
        <v>0</v>
      </c>
      <c r="Y34" s="144"/>
      <c r="Z34" s="123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11">
        <f t="shared" si="4"/>
        <v>0</v>
      </c>
      <c r="AT34" s="111">
        <f t="shared" si="5"/>
        <v>0</v>
      </c>
      <c r="AU34" s="120">
        <f t="shared" si="6"/>
        <v>0</v>
      </c>
      <c r="AV34" s="144"/>
      <c r="AW34" s="121"/>
      <c r="AX34" s="102"/>
      <c r="AY34" s="135"/>
      <c r="AZ34" s="144"/>
      <c r="BA34" s="131"/>
    </row>
    <row r="35" spans="2:53" x14ac:dyDescent="0.25">
      <c r="B35" s="103"/>
      <c r="C35" s="104" t="str">
        <f>IFERROR(INDEX(T_BdD[Prénom],MATCH($B35,T_BdD[Nom],0)),"")</f>
        <v/>
      </c>
      <c r="D35" s="104"/>
      <c r="E35" s="123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22">
        <f>SUM(Planning!$E35:$W35)</f>
        <v>0</v>
      </c>
      <c r="Y35" s="144"/>
      <c r="Z35" s="121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11">
        <f t="shared" si="4"/>
        <v>0</v>
      </c>
      <c r="AT35" s="111">
        <f t="shared" si="5"/>
        <v>0</v>
      </c>
      <c r="AU35" s="120">
        <f t="shared" si="6"/>
        <v>0</v>
      </c>
      <c r="AV35" s="144"/>
      <c r="AW35" s="123"/>
      <c r="AX35" s="105"/>
      <c r="AY35" s="136"/>
      <c r="AZ35" s="144"/>
      <c r="BA35" s="132"/>
    </row>
    <row r="36" spans="2:53" x14ac:dyDescent="0.25">
      <c r="B36" s="100"/>
      <c r="C36" s="101" t="str">
        <f>IFERROR(INDEX(T_BdD[Prénom],MATCH($B36,T_BdD[Nom],0)),"")</f>
        <v/>
      </c>
      <c r="D36" s="101"/>
      <c r="E36" s="121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22">
        <f>SUM(Planning!$E36:$W36)</f>
        <v>0</v>
      </c>
      <c r="Y36" s="144"/>
      <c r="Z36" s="123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11">
        <f t="shared" si="4"/>
        <v>0</v>
      </c>
      <c r="AT36" s="111">
        <f t="shared" si="5"/>
        <v>0</v>
      </c>
      <c r="AU36" s="120">
        <f t="shared" si="6"/>
        <v>0</v>
      </c>
      <c r="AV36" s="144"/>
      <c r="AW36" s="121"/>
      <c r="AX36" s="102"/>
      <c r="AY36" s="135"/>
      <c r="AZ36" s="144"/>
      <c r="BA36" s="131"/>
    </row>
    <row r="37" spans="2:53" x14ac:dyDescent="0.25">
      <c r="B37" s="103"/>
      <c r="C37" s="104" t="str">
        <f>IFERROR(INDEX(T_BdD[Prénom],MATCH($B37,T_BdD[Nom],0)),"")</f>
        <v/>
      </c>
      <c r="D37" s="104"/>
      <c r="E37" s="123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22">
        <f>SUM(Planning!$E37:$W37)</f>
        <v>0</v>
      </c>
      <c r="Y37" s="144"/>
      <c r="Z37" s="121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11">
        <f t="shared" si="4"/>
        <v>0</v>
      </c>
      <c r="AT37" s="111">
        <f t="shared" si="5"/>
        <v>0</v>
      </c>
      <c r="AU37" s="120">
        <f t="shared" si="6"/>
        <v>0</v>
      </c>
      <c r="AV37" s="144"/>
      <c r="AW37" s="123"/>
      <c r="AX37" s="105"/>
      <c r="AY37" s="136"/>
      <c r="AZ37" s="144"/>
      <c r="BA37" s="132"/>
    </row>
    <row r="38" spans="2:53" x14ac:dyDescent="0.25">
      <c r="B38" s="100"/>
      <c r="C38" s="101" t="str">
        <f>IFERROR(INDEX(T_BdD[Prénom],MATCH($B38,T_BdD[Nom],0)),"")</f>
        <v/>
      </c>
      <c r="D38" s="101"/>
      <c r="E38" s="121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22">
        <f>SUM(Planning!$E38:$W38)</f>
        <v>0</v>
      </c>
      <c r="Y38" s="144"/>
      <c r="Z38" s="123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11">
        <f t="shared" si="4"/>
        <v>0</v>
      </c>
      <c r="AT38" s="111">
        <f t="shared" si="5"/>
        <v>0</v>
      </c>
      <c r="AU38" s="120">
        <f t="shared" si="6"/>
        <v>0</v>
      </c>
      <c r="AV38" s="144"/>
      <c r="AW38" s="121"/>
      <c r="AX38" s="102"/>
      <c r="AY38" s="135"/>
      <c r="AZ38" s="144"/>
      <c r="BA38" s="131"/>
    </row>
    <row r="39" spans="2:53" x14ac:dyDescent="0.25">
      <c r="B39" s="103"/>
      <c r="C39" s="104" t="str">
        <f>IFERROR(INDEX(T_BdD[Prénom],MATCH($B39,T_BdD[Nom],0)),"")</f>
        <v/>
      </c>
      <c r="D39" s="104"/>
      <c r="E39" s="123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22">
        <f>SUM(Planning!$E39:$W39)</f>
        <v>0</v>
      </c>
      <c r="Y39" s="144"/>
      <c r="Z39" s="121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11">
        <f t="shared" si="4"/>
        <v>0</v>
      </c>
      <c r="AT39" s="111">
        <f t="shared" si="5"/>
        <v>0</v>
      </c>
      <c r="AU39" s="120">
        <f t="shared" si="6"/>
        <v>0</v>
      </c>
      <c r="AV39" s="144"/>
      <c r="AW39" s="123"/>
      <c r="AX39" s="105"/>
      <c r="AY39" s="136"/>
      <c r="AZ39" s="144"/>
      <c r="BA39" s="132"/>
    </row>
    <row r="40" spans="2:53" x14ac:dyDescent="0.25">
      <c r="B40" s="100"/>
      <c r="C40" s="101" t="str">
        <f>IFERROR(INDEX(T_BdD[Prénom],MATCH($B40,T_BdD[Nom],0)),"")</f>
        <v/>
      </c>
      <c r="D40" s="101"/>
      <c r="E40" s="121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22">
        <f>SUM(Planning!$E40:$W40)</f>
        <v>0</v>
      </c>
      <c r="Y40" s="144"/>
      <c r="Z40" s="123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11">
        <f t="shared" si="4"/>
        <v>0</v>
      </c>
      <c r="AT40" s="111">
        <f t="shared" si="5"/>
        <v>0</v>
      </c>
      <c r="AU40" s="120">
        <f t="shared" si="6"/>
        <v>0</v>
      </c>
      <c r="AV40" s="144"/>
      <c r="AW40" s="121"/>
      <c r="AX40" s="102"/>
      <c r="AY40" s="135"/>
      <c r="AZ40" s="144"/>
      <c r="BA40" s="131"/>
    </row>
    <row r="41" spans="2:53" x14ac:dyDescent="0.25">
      <c r="B41" s="103"/>
      <c r="C41" s="104" t="str">
        <f>IFERROR(INDEX(T_BdD[Prénom],MATCH($B41,T_BdD[Nom],0)),"")</f>
        <v/>
      </c>
      <c r="D41" s="104"/>
      <c r="E41" s="123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22">
        <f>SUM(Planning!$E41:$W41)</f>
        <v>0</v>
      </c>
      <c r="Y41" s="144"/>
      <c r="Z41" s="121"/>
      <c r="AA41" s="102"/>
      <c r="AB41" s="102"/>
      <c r="AC41" s="102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11">
        <f t="shared" si="4"/>
        <v>0</v>
      </c>
      <c r="AT41" s="111">
        <f t="shared" si="5"/>
        <v>0</v>
      </c>
      <c r="AU41" s="120">
        <f t="shared" si="6"/>
        <v>0</v>
      </c>
      <c r="AV41" s="144"/>
      <c r="AW41" s="123"/>
      <c r="AX41" s="105"/>
      <c r="AY41" s="136"/>
      <c r="AZ41" s="144"/>
      <c r="BA41" s="132"/>
    </row>
    <row r="42" spans="2:53" x14ac:dyDescent="0.25">
      <c r="B42" s="100"/>
      <c r="C42" s="101" t="str">
        <f>IFERROR(INDEX(T_BdD[Prénom],MATCH($B42,T_BdD[Nom],0)),"")</f>
        <v/>
      </c>
      <c r="D42" s="101"/>
      <c r="E42" s="121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22">
        <f>SUM(Planning!$E42:$W42)</f>
        <v>0</v>
      </c>
      <c r="Y42" s="144"/>
      <c r="Z42" s="123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11">
        <f t="shared" si="4"/>
        <v>0</v>
      </c>
      <c r="AT42" s="111">
        <f t="shared" si="5"/>
        <v>0</v>
      </c>
      <c r="AU42" s="120">
        <f t="shared" si="6"/>
        <v>0</v>
      </c>
      <c r="AV42" s="144"/>
      <c r="AW42" s="121"/>
      <c r="AX42" s="102"/>
      <c r="AY42" s="135"/>
      <c r="AZ42" s="144"/>
      <c r="BA42" s="131"/>
    </row>
    <row r="43" spans="2:53" x14ac:dyDescent="0.25">
      <c r="B43" s="103"/>
      <c r="C43" s="104" t="str">
        <f>IFERROR(INDEX(T_BdD[Prénom],MATCH($B43,T_BdD[Nom],0)),"")</f>
        <v/>
      </c>
      <c r="D43" s="104"/>
      <c r="E43" s="123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22">
        <f>SUM(Planning!$E43:$W43)</f>
        <v>0</v>
      </c>
      <c r="Y43" s="144"/>
      <c r="Z43" s="121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11">
        <f t="shared" si="4"/>
        <v>0</v>
      </c>
      <c r="AT43" s="111">
        <f t="shared" si="5"/>
        <v>0</v>
      </c>
      <c r="AU43" s="120">
        <f t="shared" si="6"/>
        <v>0</v>
      </c>
      <c r="AV43" s="144"/>
      <c r="AW43" s="123"/>
      <c r="AX43" s="105"/>
      <c r="AY43" s="136"/>
      <c r="AZ43" s="144"/>
      <c r="BA43" s="132"/>
    </row>
    <row r="44" spans="2:53" x14ac:dyDescent="0.25">
      <c r="B44" s="100"/>
      <c r="C44" s="101" t="str">
        <f>IFERROR(INDEX(T_BdD[Prénom],MATCH($B44,T_BdD[Nom],0)),"")</f>
        <v/>
      </c>
      <c r="D44" s="101"/>
      <c r="E44" s="121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22">
        <f>SUM(Planning!$E44:$W44)</f>
        <v>0</v>
      </c>
      <c r="Y44" s="144"/>
      <c r="Z44" s="123"/>
      <c r="AA44" s="105"/>
      <c r="AB44" s="105"/>
      <c r="AC44" s="105"/>
      <c r="AD44" s="105"/>
      <c r="AE44" s="105"/>
      <c r="AF44" s="105"/>
      <c r="AG44" s="105"/>
      <c r="AH44" s="105"/>
      <c r="AI44" s="105"/>
      <c r="AJ44" s="105"/>
      <c r="AK44" s="105"/>
      <c r="AL44" s="105"/>
      <c r="AM44" s="105"/>
      <c r="AN44" s="105"/>
      <c r="AO44" s="105"/>
      <c r="AP44" s="105"/>
      <c r="AQ44" s="105"/>
      <c r="AR44" s="105"/>
      <c r="AS44" s="111">
        <f t="shared" si="4"/>
        <v>0</v>
      </c>
      <c r="AT44" s="111">
        <f t="shared" si="5"/>
        <v>0</v>
      </c>
      <c r="AU44" s="120">
        <f t="shared" si="6"/>
        <v>0</v>
      </c>
      <c r="AV44" s="144"/>
      <c r="AW44" s="121"/>
      <c r="AX44" s="102"/>
      <c r="AY44" s="135"/>
      <c r="AZ44" s="144"/>
      <c r="BA44" s="131"/>
    </row>
    <row r="45" spans="2:53" x14ac:dyDescent="0.25">
      <c r="B45" s="103"/>
      <c r="C45" s="104" t="str">
        <f>IFERROR(INDEX(T_BdD[Prénom],MATCH($B45,T_BdD[Nom],0)),"")</f>
        <v/>
      </c>
      <c r="D45" s="104"/>
      <c r="E45" s="123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22">
        <f>SUM(Planning!$E45:$W45)</f>
        <v>0</v>
      </c>
      <c r="Y45" s="144"/>
      <c r="Z45" s="121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11">
        <f t="shared" si="4"/>
        <v>0</v>
      </c>
      <c r="AT45" s="111">
        <f t="shared" si="5"/>
        <v>0</v>
      </c>
      <c r="AU45" s="120">
        <f t="shared" si="6"/>
        <v>0</v>
      </c>
      <c r="AV45" s="144"/>
      <c r="AW45" s="123"/>
      <c r="AX45" s="105"/>
      <c r="AY45" s="136"/>
      <c r="AZ45" s="144"/>
      <c r="BA45" s="132"/>
    </row>
    <row r="46" spans="2:53" x14ac:dyDescent="0.25">
      <c r="B46" s="100"/>
      <c r="C46" s="101" t="str">
        <f>IFERROR(INDEX(T_BdD[Prénom],MATCH($B46,T_BdD[Nom],0)),"")</f>
        <v/>
      </c>
      <c r="D46" s="101"/>
      <c r="E46" s="121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22">
        <f>SUM(Planning!$E46:$W46)</f>
        <v>0</v>
      </c>
      <c r="Y46" s="144"/>
      <c r="Z46" s="123"/>
      <c r="AA46" s="105"/>
      <c r="AB46" s="105"/>
      <c r="AC46" s="105"/>
      <c r="AD46" s="105"/>
      <c r="AE46" s="105"/>
      <c r="AF46" s="105"/>
      <c r="AG46" s="105"/>
      <c r="AH46" s="105"/>
      <c r="AI46" s="105"/>
      <c r="AJ46" s="105"/>
      <c r="AK46" s="105"/>
      <c r="AL46" s="105"/>
      <c r="AM46" s="105"/>
      <c r="AN46" s="105"/>
      <c r="AO46" s="105"/>
      <c r="AP46" s="105"/>
      <c r="AQ46" s="105"/>
      <c r="AR46" s="105"/>
      <c r="AS46" s="111">
        <f t="shared" si="4"/>
        <v>0</v>
      </c>
      <c r="AT46" s="111">
        <f t="shared" si="5"/>
        <v>0</v>
      </c>
      <c r="AU46" s="120">
        <f t="shared" si="6"/>
        <v>0</v>
      </c>
      <c r="AV46" s="144"/>
      <c r="AW46" s="121"/>
      <c r="AX46" s="102"/>
      <c r="AY46" s="135"/>
      <c r="AZ46" s="144"/>
      <c r="BA46" s="131"/>
    </row>
    <row r="47" spans="2:53" x14ac:dyDescent="0.25">
      <c r="B47" s="103"/>
      <c r="C47" s="104" t="str">
        <f>IFERROR(INDEX(T_BdD[Prénom],MATCH($B47,T_BdD[Nom],0)),"")</f>
        <v/>
      </c>
      <c r="D47" s="104"/>
      <c r="E47" s="123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22">
        <f>SUM(Planning!$E47:$W47)</f>
        <v>0</v>
      </c>
      <c r="Y47" s="144"/>
      <c r="Z47" s="121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11">
        <f t="shared" si="4"/>
        <v>0</v>
      </c>
      <c r="AT47" s="111">
        <f t="shared" si="5"/>
        <v>0</v>
      </c>
      <c r="AU47" s="120">
        <f t="shared" si="6"/>
        <v>0</v>
      </c>
      <c r="AV47" s="144"/>
      <c r="AW47" s="123"/>
      <c r="AX47" s="105"/>
      <c r="AY47" s="136"/>
      <c r="AZ47" s="144"/>
      <c r="BA47" s="132"/>
    </row>
    <row r="48" spans="2:53" x14ac:dyDescent="0.25">
      <c r="B48" s="100"/>
      <c r="C48" s="101" t="str">
        <f>IFERROR(INDEX(T_BdD[Prénom],MATCH($B48,T_BdD[Nom],0)),"")</f>
        <v/>
      </c>
      <c r="D48" s="101"/>
      <c r="E48" s="121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22">
        <f>SUM(Planning!$E48:$W48)</f>
        <v>0</v>
      </c>
      <c r="Y48" s="144"/>
      <c r="Z48" s="123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11">
        <f t="shared" si="4"/>
        <v>0</v>
      </c>
      <c r="AT48" s="111">
        <f t="shared" si="5"/>
        <v>0</v>
      </c>
      <c r="AU48" s="120">
        <f t="shared" si="6"/>
        <v>0</v>
      </c>
      <c r="AV48" s="144"/>
      <c r="AW48" s="121"/>
      <c r="AX48" s="102"/>
      <c r="AY48" s="135"/>
      <c r="AZ48" s="144"/>
      <c r="BA48" s="131"/>
    </row>
    <row r="49" spans="2:53" x14ac:dyDescent="0.25">
      <c r="B49" s="103"/>
      <c r="C49" s="104" t="str">
        <f>IFERROR(INDEX(T_BdD[Prénom],MATCH($B49,T_BdD[Nom],0)),"")</f>
        <v/>
      </c>
      <c r="D49" s="104"/>
      <c r="E49" s="123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22">
        <f>SUM(Planning!$E49:$W49)</f>
        <v>0</v>
      </c>
      <c r="Y49" s="144"/>
      <c r="Z49" s="126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3"/>
      <c r="AS49" s="111">
        <f t="shared" si="4"/>
        <v>0</v>
      </c>
      <c r="AT49" s="111">
        <f t="shared" si="5"/>
        <v>0</v>
      </c>
      <c r="AU49" s="120">
        <f t="shared" si="6"/>
        <v>0</v>
      </c>
      <c r="AV49" s="144"/>
      <c r="AW49" s="123"/>
      <c r="AX49" s="105"/>
      <c r="AY49" s="136"/>
      <c r="AZ49" s="144"/>
      <c r="BA49" s="132"/>
    </row>
    <row r="50" spans="2:53" x14ac:dyDescent="0.25">
      <c r="B50" s="106"/>
      <c r="C50" s="107" t="str">
        <f>IFERROR(INDEX(T_BdD[Prénom],MATCH($B50,T_BdD[Nom],0)),"")</f>
        <v/>
      </c>
      <c r="D50" s="107"/>
      <c r="E50" s="124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25">
        <f>SUM(Planning!$E50:$W50)</f>
        <v>0</v>
      </c>
      <c r="Y50" s="144"/>
      <c r="Z50" s="127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5"/>
      <c r="AS50" s="118">
        <f t="shared" si="4"/>
        <v>0</v>
      </c>
      <c r="AT50" s="118">
        <f t="shared" si="5"/>
        <v>0</v>
      </c>
      <c r="AU50" s="128">
        <f t="shared" si="6"/>
        <v>0</v>
      </c>
      <c r="AV50" s="144"/>
      <c r="AW50" s="124"/>
      <c r="AX50" s="108"/>
      <c r="AY50" s="137"/>
      <c r="AZ50" s="144"/>
      <c r="BA50" s="133"/>
    </row>
  </sheetData>
  <conditionalFormatting sqref="E2:W50 Z2:AR50">
    <cfRule type="expression" dxfId="8" priority="7" stopIfTrue="1">
      <formula>WEEKDAY(E$2,2)&gt;5</formula>
    </cfRule>
  </conditionalFormatting>
  <dataValidations count="4">
    <dataValidation type="list" allowBlank="1" showInputMessage="1" showErrorMessage="1" sqref="D3:D50" xr:uid="{64123C79-3963-4B37-9E9C-0AB14B12F7E0}">
      <formula1>L_Prestations</formula1>
    </dataValidation>
    <dataValidation type="list" allowBlank="1" showInputMessage="1" showErrorMessage="1" sqref="B3:B50" xr:uid="{65804DA7-4BE5-4E00-AA3E-D681F575B31E}">
      <formula1>L_Nom</formula1>
    </dataValidation>
    <dataValidation type="list" allowBlank="1" showInputMessage="1" showErrorMessage="1" sqref="BA3:BA50" xr:uid="{A5086C40-5BE2-449D-AB07-DCB525155B01}">
      <formula1>Péricentre</formula1>
    </dataValidation>
    <dataValidation type="list" allowBlank="1" showErrorMessage="1" prompt="Choisir dans la liste :_x000a_M = Matin, S  = Soir, _x000a_M + S = Matin et Soir_x000a_" sqref="Z3:AR50" xr:uid="{417C009C-E6C9-42B8-A902-03D81BBE7FF3}">
      <formula1>L_Garderie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7E00-9C54-4C6D-BAE6-7BE08B4DC8F0}">
  <sheetPr codeName="Feuil3">
    <outlinePr summaryBelow="0" summaryRight="0"/>
    <pageSetUpPr fitToPage="1"/>
  </sheetPr>
  <dimension ref="A1:E66"/>
  <sheetViews>
    <sheetView showGridLines="0" showZeros="0" zoomScale="106" zoomScaleNormal="106" workbookViewId="0">
      <pane xSplit="1" ySplit="2" topLeftCell="B33" activePane="bottomRight" state="frozen"/>
      <selection pane="topRight" activeCell="B1" sqref="B1"/>
      <selection pane="bottomLeft" activeCell="A3" sqref="A3"/>
      <selection pane="bottomRight" activeCell="C2" sqref="C2"/>
    </sheetView>
  </sheetViews>
  <sheetFormatPr baseColWidth="10" defaultRowHeight="15.75" outlineLevelRow="1" x14ac:dyDescent="0.25"/>
  <cols>
    <col min="1" max="1" width="8.7109375" style="15" customWidth="1"/>
    <col min="2" max="2" width="49.28515625" style="15" bestFit="1" customWidth="1"/>
    <col min="3" max="3" width="30.7109375" style="15" customWidth="1"/>
    <col min="4" max="4" width="12.7109375" style="18" customWidth="1"/>
    <col min="5" max="5" width="18.7109375" style="18" customWidth="1"/>
    <col min="6" max="16384" width="11.42578125" style="15"/>
  </cols>
  <sheetData>
    <row r="1" spans="1:5" x14ac:dyDescent="0.25">
      <c r="A1" s="160">
        <v>1</v>
      </c>
    </row>
    <row r="2" spans="1:5" x14ac:dyDescent="0.25">
      <c r="B2" s="16" t="s">
        <v>4</v>
      </c>
      <c r="C2" s="24" t="s">
        <v>29</v>
      </c>
      <c r="D2" s="190" t="s">
        <v>55</v>
      </c>
      <c r="E2" s="191"/>
    </row>
    <row r="3" spans="1:5" x14ac:dyDescent="0.25">
      <c r="B3" s="16" t="s">
        <v>5</v>
      </c>
      <c r="C3" s="24" t="str">
        <f>IFERROR(INDEX(T_BdD[Prénom],MATCH($C$2,T_BdD[Nom],0)),"")</f>
        <v>Harrry</v>
      </c>
      <c r="D3" s="192"/>
      <c r="E3" s="193"/>
    </row>
    <row r="4" spans="1:5" x14ac:dyDescent="0.25">
      <c r="B4" s="16" t="s">
        <v>56</v>
      </c>
      <c r="C4" s="24" t="str">
        <f>IFERROR(INDEX(T_BdD[Adresse],MATCH($C$2,T_BdD[Nom],0)),"")</f>
        <v>4, Privet Drive</v>
      </c>
      <c r="D4" s="192"/>
      <c r="E4" s="193"/>
    </row>
    <row r="5" spans="1:5" x14ac:dyDescent="0.25">
      <c r="B5" s="16" t="s">
        <v>59</v>
      </c>
      <c r="C5" s="24" t="str">
        <f>IFERROR(TEXT(INDEX(T_BdD[Code postal],MATCH($C$2,T_BdD[Nom],0)),"00000")&amp;" "&amp;INDEX(T_BdD[Ville],MATCH($C$2,T_BdD[Nom],0)),"")</f>
        <v>99999 Little Whinging</v>
      </c>
      <c r="D5" s="192"/>
      <c r="E5" s="193"/>
    </row>
    <row r="6" spans="1:5" x14ac:dyDescent="0.25">
      <c r="B6" s="16" t="s">
        <v>25</v>
      </c>
      <c r="C6" s="25">
        <f>IFERROR(INDEX(T_BdD[Téléphone],MATCH($C$2,T_BdD[Nom],0)),"")</f>
        <v>809050602</v>
      </c>
      <c r="D6" s="192"/>
      <c r="E6" s="193"/>
    </row>
    <row r="7" spans="1:5" x14ac:dyDescent="0.25">
      <c r="B7" s="16" t="s">
        <v>7</v>
      </c>
      <c r="C7" s="24" t="str">
        <f>IFERROR(INDEX(T_BdD[Adresse mail],MATCH($C$2,T_BdD[Nom],0)),"")</f>
        <v>hpotter@gmail,com</v>
      </c>
      <c r="D7" s="192"/>
      <c r="E7" s="193"/>
    </row>
    <row r="8" spans="1:5" x14ac:dyDescent="0.25">
      <c r="B8" s="16" t="s">
        <v>23</v>
      </c>
      <c r="C8" s="24" t="str">
        <f>IFERROR(INDEX(T_BdD[Contact],MATCH($C$2,T_BdD[Nom],0)),"")</f>
        <v>Albus Dumbledore</v>
      </c>
      <c r="D8" s="192"/>
      <c r="E8" s="193"/>
    </row>
    <row r="9" spans="1:5" x14ac:dyDescent="0.25">
      <c r="B9" s="16" t="s">
        <v>24</v>
      </c>
      <c r="C9" s="24" t="str">
        <f>IFERROR(INDEX(T_BdD[Lien avec l''enfant],MATCH($C$2,T_BdD[Nom],0)),"")</f>
        <v>Tuteur</v>
      </c>
      <c r="D9" s="192"/>
      <c r="E9" s="193"/>
    </row>
    <row r="10" spans="1:5" x14ac:dyDescent="0.25">
      <c r="B10" s="16" t="s">
        <v>69</v>
      </c>
      <c r="C10" s="25">
        <f>IFERROR(INDEX(T_BdD[Téléphone2],MATCH($C$2,T_BdD[Nom],0)),"")</f>
        <v>102030405</v>
      </c>
      <c r="D10" s="192"/>
      <c r="E10" s="193"/>
    </row>
    <row r="11" spans="1:5" x14ac:dyDescent="0.25">
      <c r="B11" s="19"/>
      <c r="C11" s="17"/>
      <c r="D11" s="192"/>
      <c r="E11" s="193"/>
    </row>
    <row r="12" spans="1:5" x14ac:dyDescent="0.25">
      <c r="B12" s="16" t="s">
        <v>8</v>
      </c>
      <c r="C12" s="55">
        <f ca="1">IFERROR(INDEX(T_BdD[Age],MATCH($C$2,T_BdD[Nom],0)),"")</f>
        <v>9</v>
      </c>
      <c r="D12" s="192"/>
      <c r="E12" s="193"/>
    </row>
    <row r="13" spans="1:5" x14ac:dyDescent="0.25">
      <c r="B13" s="16" t="s">
        <v>6</v>
      </c>
      <c r="C13" s="24">
        <f>IFERROR(INDEX(T_BdD[Quotient familial],MATCH($C$2,T_BdD[Nom],0)),"")</f>
        <v>1500</v>
      </c>
      <c r="D13" s="192"/>
      <c r="E13" s="193"/>
    </row>
    <row r="14" spans="1:5" x14ac:dyDescent="0.25">
      <c r="B14" s="16" t="s">
        <v>20</v>
      </c>
      <c r="C14" s="24" t="str">
        <f>IFERROR(INDEX(T_BdD[Adhérent],MATCH($C$2,T_BdD[Nom],0)),"")</f>
        <v>Oui</v>
      </c>
      <c r="D14" s="194"/>
      <c r="E14" s="195"/>
    </row>
    <row r="16" spans="1:5" x14ac:dyDescent="0.25">
      <c r="B16" s="157" t="s">
        <v>87</v>
      </c>
      <c r="C16" s="15" t="str">
        <f ca="1">TEXT(TODAY(),"jjmmaaa")&amp;"ASSO"&amp;TEXT(A1,0)</f>
        <v>23092019ASSO1</v>
      </c>
    </row>
    <row r="17" spans="2:5" x14ac:dyDescent="0.25">
      <c r="B17" s="157" t="s">
        <v>26</v>
      </c>
      <c r="C17" s="159">
        <f ca="1">TODAY()</f>
        <v>43731</v>
      </c>
      <c r="D17" s="153"/>
    </row>
    <row r="19" spans="2:5" s="20" customFormat="1" outlineLevel="1" x14ac:dyDescent="0.25">
      <c r="B19" s="26" t="s">
        <v>54</v>
      </c>
      <c r="C19" s="199" t="s">
        <v>17</v>
      </c>
      <c r="D19" s="200"/>
      <c r="E19" s="27" t="s">
        <v>18</v>
      </c>
    </row>
    <row r="20" spans="2:5" outlineLevel="1" x14ac:dyDescent="0.25">
      <c r="B20" s="147">
        <f>IFERROR(INDEX(Planning!$BA$3:$BA$50,MATCH($C$2,Planning!B3:B50,0)),0)</f>
        <v>0</v>
      </c>
      <c r="C20" s="201" t="str">
        <f>IFERROR(INDEX(L_periode,MATCH($B$20,Péricentre,0)),"")</f>
        <v/>
      </c>
      <c r="D20" s="201"/>
      <c r="E20" s="148">
        <f>IF($C14="oui",Paramètres!G10,Paramètres!G21)</f>
        <v>0</v>
      </c>
    </row>
    <row r="21" spans="2:5" ht="15" customHeight="1" x14ac:dyDescent="0.25"/>
    <row r="22" spans="2:5" outlineLevel="1" x14ac:dyDescent="0.25">
      <c r="B22" s="28" t="s">
        <v>84</v>
      </c>
      <c r="C22" s="28" t="s">
        <v>17</v>
      </c>
      <c r="D22" s="28" t="s">
        <v>21</v>
      </c>
      <c r="E22" s="27" t="s">
        <v>18</v>
      </c>
    </row>
    <row r="23" spans="2:5" outlineLevel="1" x14ac:dyDescent="0.25">
      <c r="B23" s="93"/>
      <c r="C23" s="93"/>
      <c r="D23" s="30"/>
      <c r="E23" s="21"/>
    </row>
    <row r="24" spans="2:5" ht="15.75" customHeight="1" outlineLevel="1" x14ac:dyDescent="0.25">
      <c r="B24" s="31" t="str">
        <f>IF(ISNUMBER(SEARCH("journée",INDEX(Planning!$D$3:$D$50,MATCH($C$2,Planning!$B$3:$B$50,0)))),INDEX(Planning!$D$3:$D$50,MATCH($C$2,Planning!$B$3:$B$50,0)),"")</f>
        <v xml:space="preserve">Journée avec repas </v>
      </c>
      <c r="C24" s="32">
        <v>43654</v>
      </c>
      <c r="D24" s="33">
        <f>IFERROR(INDEX(Planning!$E$3:$E$50,MATCH($C$2,Planning!$B$3:$B$50,0)),0)</f>
        <v>1</v>
      </c>
      <c r="E24" s="34">
        <f>IF(D24&lt;&gt;0,Paramètres!$C$40,0)</f>
        <v>15</v>
      </c>
    </row>
    <row r="25" spans="2:5" outlineLevel="1" x14ac:dyDescent="0.25">
      <c r="B25" s="31" t="str">
        <f>$B$24</f>
        <v xml:space="preserve">Journée avec repas </v>
      </c>
      <c r="C25" s="32">
        <f>C24+1</f>
        <v>43655</v>
      </c>
      <c r="D25" s="33">
        <f>IFERROR(INDEX(Planning!$F$3:$F$50,MATCH($C$2,Planning!$B$3:$B$50,0)),0)</f>
        <v>0</v>
      </c>
      <c r="E25" s="34">
        <f>IF(D25&lt;&gt;0,Paramètres!$C$40,0)</f>
        <v>0</v>
      </c>
    </row>
    <row r="26" spans="2:5" outlineLevel="1" x14ac:dyDescent="0.25">
      <c r="B26" s="31" t="str">
        <f t="shared" ref="B26:B28" si="0">$B$24</f>
        <v xml:space="preserve">Journée avec repas </v>
      </c>
      <c r="C26" s="32">
        <f t="shared" ref="C26:C28" si="1">C25+1</f>
        <v>43656</v>
      </c>
      <c r="D26" s="33">
        <f>IFERROR(INDEX(Planning!$G$3:$G$50,MATCH($C$2,Planning!$B$3:$B$50,0)),0)</f>
        <v>0</v>
      </c>
      <c r="E26" s="34">
        <f>IF(D26&lt;&gt;0,Paramètres!$C$40,0)</f>
        <v>0</v>
      </c>
    </row>
    <row r="27" spans="2:5" outlineLevel="1" x14ac:dyDescent="0.25">
      <c r="B27" s="31" t="str">
        <f t="shared" si="0"/>
        <v xml:space="preserve">Journée avec repas </v>
      </c>
      <c r="C27" s="32">
        <f t="shared" si="1"/>
        <v>43657</v>
      </c>
      <c r="D27" s="33">
        <f>IFERROR(INDEX(Planning!$H$3:$H$50,MATCH($C$2,Planning!$B$3:$B$50,0)),0)</f>
        <v>0</v>
      </c>
      <c r="E27" s="34">
        <f>IF(D27&lt;&gt;0,Paramètres!$C$40,0)</f>
        <v>0</v>
      </c>
    </row>
    <row r="28" spans="2:5" outlineLevel="1" x14ac:dyDescent="0.25">
      <c r="B28" s="31" t="str">
        <f t="shared" si="0"/>
        <v xml:space="preserve">Journée avec repas </v>
      </c>
      <c r="C28" s="32">
        <f t="shared" si="1"/>
        <v>43658</v>
      </c>
      <c r="D28" s="33">
        <f>IFERROR(INDEX(Planning!$I$3:$I$50,MATCH($C$2,Planning!$B$3:$B$50,0)),0)</f>
        <v>0</v>
      </c>
      <c r="E28" s="34">
        <f>IF(D28&lt;&gt;0,Paramètres!$C$40,0)</f>
        <v>0</v>
      </c>
    </row>
    <row r="29" spans="2:5" outlineLevel="1" x14ac:dyDescent="0.25">
      <c r="B29" s="35"/>
      <c r="C29" s="35"/>
      <c r="D29" s="33"/>
      <c r="E29" s="34"/>
    </row>
    <row r="30" spans="2:5" outlineLevel="1" x14ac:dyDescent="0.25">
      <c r="B30" s="31" t="str">
        <f t="shared" ref="B30:B34" si="2">$B$24</f>
        <v xml:space="preserve">Journée avec repas </v>
      </c>
      <c r="C30" s="32">
        <f>C28+3</f>
        <v>43661</v>
      </c>
      <c r="D30" s="33">
        <f>IFERROR(INDEX(Planning!$L$3:$L$50,MATCH($C$2,Planning!$B$3:$B$50,0)),0)</f>
        <v>1</v>
      </c>
      <c r="E30" s="34">
        <f>IF(D30&lt;&gt;0,Paramètres!$C$40,0)</f>
        <v>15</v>
      </c>
    </row>
    <row r="31" spans="2:5" outlineLevel="1" x14ac:dyDescent="0.25">
      <c r="B31" s="31" t="str">
        <f t="shared" si="2"/>
        <v xml:space="preserve">Journée avec repas </v>
      </c>
      <c r="C31" s="32">
        <f>C30+1</f>
        <v>43662</v>
      </c>
      <c r="D31" s="33">
        <f>IFERROR(INDEX(Planning!$M$3:$M$50,MATCH($C$2,Planning!$B$3:$B$50,0)),0)</f>
        <v>0</v>
      </c>
      <c r="E31" s="34">
        <f>IF(D31&lt;&gt;0,Paramètres!$C$40,0)</f>
        <v>0</v>
      </c>
    </row>
    <row r="32" spans="2:5" outlineLevel="1" x14ac:dyDescent="0.25">
      <c r="B32" s="31" t="str">
        <f t="shared" si="2"/>
        <v xml:space="preserve">Journée avec repas </v>
      </c>
      <c r="C32" s="32">
        <f t="shared" ref="C32:C34" si="3">C31+1</f>
        <v>43663</v>
      </c>
      <c r="D32" s="33">
        <f>IFERROR(INDEX(Planning!$N$3:$N$50,MATCH($C$2,Planning!$B$3:$B$50,0)),0)</f>
        <v>0</v>
      </c>
      <c r="E32" s="34">
        <f>IF(D32&lt;&gt;0,Paramètres!$C$40,0)</f>
        <v>0</v>
      </c>
    </row>
    <row r="33" spans="2:5" outlineLevel="1" x14ac:dyDescent="0.25">
      <c r="B33" s="31" t="str">
        <f t="shared" si="2"/>
        <v xml:space="preserve">Journée avec repas </v>
      </c>
      <c r="C33" s="32">
        <f t="shared" si="3"/>
        <v>43664</v>
      </c>
      <c r="D33" s="33">
        <f>IFERROR(INDEX(Planning!$O$3:$O$50,MATCH($C$2,Planning!$B$3:$B$50,0)),0)</f>
        <v>0</v>
      </c>
      <c r="E33" s="34">
        <f>IF(D33&lt;&gt;0,Paramètres!$C$40,0)</f>
        <v>0</v>
      </c>
    </row>
    <row r="34" spans="2:5" outlineLevel="1" x14ac:dyDescent="0.25">
      <c r="B34" s="31" t="str">
        <f t="shared" si="2"/>
        <v xml:space="preserve">Journée avec repas </v>
      </c>
      <c r="C34" s="32">
        <f t="shared" si="3"/>
        <v>43665</v>
      </c>
      <c r="D34" s="33">
        <f>IFERROR(INDEX(Planning!$P$3:$P$50,MATCH($C$2,Planning!$B$3:$B$50,0)),0)</f>
        <v>0</v>
      </c>
      <c r="E34" s="34">
        <f>IF(D34&lt;&gt;0,Paramètres!$C$40,0)</f>
        <v>0</v>
      </c>
    </row>
    <row r="35" spans="2:5" outlineLevel="1" x14ac:dyDescent="0.25">
      <c r="B35" s="35"/>
      <c r="C35" s="35"/>
      <c r="D35" s="33"/>
      <c r="E35" s="34"/>
    </row>
    <row r="36" spans="2:5" outlineLevel="1" x14ac:dyDescent="0.25">
      <c r="B36" s="31" t="str">
        <f t="shared" ref="B36:B40" si="4">$B$24</f>
        <v xml:space="preserve">Journée avec repas </v>
      </c>
      <c r="C36" s="32">
        <f>C34+3</f>
        <v>43668</v>
      </c>
      <c r="D36" s="33">
        <f>IFERROR(INDEX(Planning!$S$3:$S$50,MATCH($C$2,Planning!$B$3:$B$50,0)),0)</f>
        <v>1</v>
      </c>
      <c r="E36" s="34">
        <f>IF(D36&lt;&gt;0,Paramètres!$C$40,0)</f>
        <v>15</v>
      </c>
    </row>
    <row r="37" spans="2:5" outlineLevel="1" x14ac:dyDescent="0.25">
      <c r="B37" s="31" t="str">
        <f t="shared" si="4"/>
        <v xml:space="preserve">Journée avec repas </v>
      </c>
      <c r="C37" s="32">
        <f>C36+1</f>
        <v>43669</v>
      </c>
      <c r="D37" s="33">
        <f>IFERROR(INDEX(Planning!$T$3:$T$50,MATCH($C$2,Planning!$B$3:$B$50,0)),0)</f>
        <v>0</v>
      </c>
      <c r="E37" s="34">
        <f>IF(D37&lt;&gt;0,Paramètres!$C$40,0)</f>
        <v>0</v>
      </c>
    </row>
    <row r="38" spans="2:5" outlineLevel="1" x14ac:dyDescent="0.25">
      <c r="B38" s="31" t="str">
        <f t="shared" si="4"/>
        <v xml:space="preserve">Journée avec repas </v>
      </c>
      <c r="C38" s="32">
        <f t="shared" ref="C38:C40" si="5">C37+1</f>
        <v>43670</v>
      </c>
      <c r="D38" s="33">
        <f>IFERROR(INDEX(Planning!$U$3:$U$50,MATCH($C$2,Planning!$B$3:$B$50,0)),0)</f>
        <v>0</v>
      </c>
      <c r="E38" s="34">
        <f>IF(D38&lt;&gt;0,Paramètres!$C$40,0)</f>
        <v>0</v>
      </c>
    </row>
    <row r="39" spans="2:5" outlineLevel="1" x14ac:dyDescent="0.25">
      <c r="B39" s="31" t="str">
        <f t="shared" si="4"/>
        <v xml:space="preserve">Journée avec repas </v>
      </c>
      <c r="C39" s="32">
        <f t="shared" si="5"/>
        <v>43671</v>
      </c>
      <c r="D39" s="33">
        <f>IFERROR(INDEX(Planning!$V$3:$V$50,MATCH($C$2,Planning!$B$3:$B$50,0)),0)</f>
        <v>0</v>
      </c>
      <c r="E39" s="34">
        <f>IF(D39&lt;&gt;0,Paramètres!$C$40,0)</f>
        <v>0</v>
      </c>
    </row>
    <row r="40" spans="2:5" outlineLevel="1" x14ac:dyDescent="0.25">
      <c r="B40" s="31" t="str">
        <f t="shared" si="4"/>
        <v xml:space="preserve">Journée avec repas </v>
      </c>
      <c r="C40" s="32">
        <f t="shared" si="5"/>
        <v>43672</v>
      </c>
      <c r="D40" s="33">
        <f>IFERROR(INDEX(Planning!$W$3:$W$50,MATCH($C$2,Planning!$B$3:$B$50,0)),0)</f>
        <v>0</v>
      </c>
      <c r="E40" s="34">
        <f>IF(D40&lt;&gt;0,Paramètres!$C$40,0)</f>
        <v>0</v>
      </c>
    </row>
    <row r="41" spans="2:5" outlineLevel="1" x14ac:dyDescent="0.25">
      <c r="B41" s="22"/>
      <c r="C41" s="154"/>
      <c r="D41" s="87"/>
      <c r="E41" s="23"/>
    </row>
    <row r="42" spans="2:5" ht="15" customHeight="1" x14ac:dyDescent="0.25"/>
    <row r="43" spans="2:5" outlineLevel="1" x14ac:dyDescent="0.25">
      <c r="B43" s="28" t="s">
        <v>71</v>
      </c>
      <c r="C43" s="28" t="s">
        <v>86</v>
      </c>
      <c r="D43" s="28" t="s">
        <v>85</v>
      </c>
      <c r="E43" s="27" t="s">
        <v>18</v>
      </c>
    </row>
    <row r="44" spans="2:5" outlineLevel="1" x14ac:dyDescent="0.25">
      <c r="B44" s="93"/>
      <c r="C44" s="93"/>
      <c r="D44" s="30"/>
      <c r="E44" s="21"/>
    </row>
    <row r="45" spans="2:5" outlineLevel="1" x14ac:dyDescent="0.25">
      <c r="B45" s="31" t="s">
        <v>80</v>
      </c>
      <c r="C45" s="34">
        <v>1.25</v>
      </c>
      <c r="D45" s="145">
        <f>IFERROR(INDEX(Planning!$AS$3:$AS$50,MATCH($C$2,Planning!$B$3:$B$50,0)),0)</f>
        <v>0</v>
      </c>
      <c r="E45" s="34">
        <f>IF(D45&lt;&gt;0,C45*D45,0)</f>
        <v>0</v>
      </c>
    </row>
    <row r="46" spans="2:5" outlineLevel="1" x14ac:dyDescent="0.25">
      <c r="B46" s="31" t="s">
        <v>81</v>
      </c>
      <c r="C46" s="34">
        <v>1.25</v>
      </c>
      <c r="D46" s="145">
        <f>IFERROR(INDEX(Planning!$AT$3:$AT$50,MATCH($C$2,Planning!$B$3:$B$50,0)),0)</f>
        <v>3</v>
      </c>
      <c r="E46" s="34">
        <f t="shared" ref="E46:E47" si="6">IF(D46&lt;&gt;0,C46*D46,0)</f>
        <v>3.75</v>
      </c>
    </row>
    <row r="47" spans="2:5" outlineLevel="1" x14ac:dyDescent="0.25">
      <c r="B47" s="31" t="s">
        <v>82</v>
      </c>
      <c r="C47" s="34">
        <v>2.5</v>
      </c>
      <c r="D47" s="145">
        <f>IFERROR(INDEX(Planning!$AU$3:$AU$50,MATCH($C$2,Planning!$B$3:$B$50,0)),0)</f>
        <v>0</v>
      </c>
      <c r="E47" s="34">
        <f t="shared" si="6"/>
        <v>0</v>
      </c>
    </row>
    <row r="48" spans="2:5" outlineLevel="1" x14ac:dyDescent="0.25">
      <c r="B48" s="149"/>
      <c r="C48" s="150"/>
      <c r="D48" s="151"/>
      <c r="E48" s="152"/>
    </row>
    <row r="49" spans="2:5" ht="15" customHeight="1" x14ac:dyDescent="0.25"/>
    <row r="50" spans="2:5" outlineLevel="1" x14ac:dyDescent="0.25">
      <c r="B50" s="28" t="s">
        <v>40</v>
      </c>
      <c r="C50" s="28" t="s">
        <v>17</v>
      </c>
      <c r="D50" s="28" t="s">
        <v>21</v>
      </c>
      <c r="E50" s="27" t="s">
        <v>18</v>
      </c>
    </row>
    <row r="51" spans="2:5" outlineLevel="1" x14ac:dyDescent="0.25">
      <c r="B51" s="35"/>
      <c r="C51" s="35"/>
      <c r="D51" s="33"/>
      <c r="E51" s="34"/>
    </row>
    <row r="52" spans="2:5" outlineLevel="1" x14ac:dyDescent="0.25">
      <c r="B52" s="31" t="str">
        <f>IF(ISNUMBER(SEARCH("semaine",INDEX(Planning!$D$3:$D$50,MATCH($C$2,Planning!$B$3:$B$50,0)))),INDEX(Planning!$D$3:$D$50,MATCH($C$2,Planning!$B$3:$B$50,0)),"")</f>
        <v/>
      </c>
      <c r="C52" s="35" t="str">
        <f>"Semaine "&amp;WEEKNUM(C24,2)</f>
        <v>Semaine 28</v>
      </c>
      <c r="D52" s="145">
        <f>IFERROR(INDEX(Planning!$AW$3:$AW$50,MATCH($C$2,Planning!$B$3:$B$50,0)),0)</f>
        <v>0</v>
      </c>
      <c r="E52" s="34">
        <f>IF(D52&lt;&gt;0,Paramètres!$D$40,0)</f>
        <v>0</v>
      </c>
    </row>
    <row r="53" spans="2:5" outlineLevel="1" x14ac:dyDescent="0.25">
      <c r="B53" s="31" t="str">
        <f>B52</f>
        <v/>
      </c>
      <c r="C53" s="35" t="str">
        <f>"Semaine "&amp;WEEKNUM(C30,2)</f>
        <v>Semaine 29</v>
      </c>
      <c r="D53" s="145">
        <f>IFERROR(INDEX(Planning!$AX$3:$AX$50,MATCH($C$2,Planning!$B$3:$B$50,0)),0)</f>
        <v>0</v>
      </c>
      <c r="E53" s="34">
        <f>IF(D53&lt;&gt;0,Paramètres!$D$40,0)</f>
        <v>0</v>
      </c>
    </row>
    <row r="54" spans="2:5" outlineLevel="1" x14ac:dyDescent="0.25">
      <c r="B54" s="31" t="str">
        <f>B52</f>
        <v/>
      </c>
      <c r="C54" s="35" t="str">
        <f>"Semaine "&amp;WEEKNUM(C36,2)</f>
        <v>Semaine 30</v>
      </c>
      <c r="D54" s="145">
        <f>IFERROR(INDEX(Planning!$AY$3:$AY$50,MATCH($C$2,Planning!$B$3:$B$50,0)),0)</f>
        <v>0</v>
      </c>
      <c r="E54" s="34">
        <f>IF(D54&lt;&gt;0,Paramètres!$D$40,0)</f>
        <v>0</v>
      </c>
    </row>
    <row r="55" spans="2:5" outlineLevel="1" x14ac:dyDescent="0.25">
      <c r="B55" s="22"/>
      <c r="C55" s="85"/>
      <c r="D55" s="87"/>
      <c r="E55" s="23"/>
    </row>
    <row r="56" spans="2:5" ht="15" customHeight="1" x14ac:dyDescent="0.25"/>
    <row r="57" spans="2:5" x14ac:dyDescent="0.25">
      <c r="B57" s="196" t="s">
        <v>83</v>
      </c>
      <c r="C57" s="197"/>
      <c r="D57" s="198"/>
      <c r="E57" s="29">
        <f>SUM(E19:E56)</f>
        <v>48.75</v>
      </c>
    </row>
    <row r="58" spans="2:5" x14ac:dyDescent="0.25">
      <c r="B58" s="169"/>
      <c r="C58" s="169"/>
      <c r="D58" s="170"/>
      <c r="E58" s="170"/>
    </row>
    <row r="59" spans="2:5" x14ac:dyDescent="0.25">
      <c r="B59" s="189" t="s">
        <v>99</v>
      </c>
      <c r="C59" s="189"/>
      <c r="D59" s="189"/>
      <c r="E59" s="189"/>
    </row>
    <row r="60" spans="2:5" x14ac:dyDescent="0.25">
      <c r="B60" s="171"/>
      <c r="C60" s="171"/>
      <c r="D60" s="171"/>
      <c r="E60" s="171"/>
    </row>
    <row r="61" spans="2:5" x14ac:dyDescent="0.25">
      <c r="B61" s="173"/>
      <c r="C61" s="171"/>
      <c r="D61" s="171"/>
      <c r="E61" s="171"/>
    </row>
    <row r="62" spans="2:5" x14ac:dyDescent="0.25">
      <c r="B62" s="175" t="s">
        <v>95</v>
      </c>
      <c r="D62" s="15"/>
      <c r="E62" s="15"/>
    </row>
    <row r="63" spans="2:5" x14ac:dyDescent="0.25">
      <c r="B63" s="172" t="s">
        <v>96</v>
      </c>
      <c r="D63" s="15"/>
      <c r="E63" s="15"/>
    </row>
    <row r="64" spans="2:5" x14ac:dyDescent="0.25">
      <c r="B64" s="172" t="s">
        <v>97</v>
      </c>
      <c r="D64" s="15"/>
      <c r="E64" s="15"/>
    </row>
    <row r="65" spans="2:5" x14ac:dyDescent="0.25">
      <c r="B65" s="172" t="s">
        <v>98</v>
      </c>
      <c r="D65" s="15"/>
      <c r="E65" s="15"/>
    </row>
    <row r="66" spans="2:5" x14ac:dyDescent="0.25">
      <c r="B66" s="174"/>
    </row>
  </sheetData>
  <mergeCells count="5">
    <mergeCell ref="B59:E59"/>
    <mergeCell ref="D2:E14"/>
    <mergeCell ref="B57:D57"/>
    <mergeCell ref="C19:D19"/>
    <mergeCell ref="C20:D20"/>
  </mergeCells>
  <dataValidations count="1">
    <dataValidation type="list" allowBlank="1" showInputMessage="1" showErrorMessage="1" sqref="C2" xr:uid="{7BA52878-38E5-49BD-9AC1-1BA4D869E059}">
      <formula1>L_A_Facturer</formula1>
    </dataValidation>
  </dataValidations>
  <printOptions horizontalCentered="1" verticalCentered="1"/>
  <pageMargins left="0" right="0.39370078740157483" top="0" bottom="0" header="0" footer="0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Label 3">
              <controlPr defaultSize="0" print="0" autoFill="0" autoLine="0" autoPict="0" macro="[0]!Étiquette3_Cliquer">
                <anchor>
                  <from>
                    <xdr:col>0</xdr:col>
                    <xdr:colOff>76200</xdr:colOff>
                    <xdr:row>9</xdr:row>
                    <xdr:rowOff>190500</xdr:rowOff>
                  </from>
                  <to>
                    <xdr:col>0</xdr:col>
                    <xdr:colOff>552450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Label 4">
              <controlPr defaultSize="0" print="0" autoFill="0" autoLine="0" autoPict="0">
                <anchor>
                  <from>
                    <xdr:col>0</xdr:col>
                    <xdr:colOff>57150</xdr:colOff>
                    <xdr:row>5</xdr:row>
                    <xdr:rowOff>47625</xdr:rowOff>
                  </from>
                  <to>
                    <xdr:col>0</xdr:col>
                    <xdr:colOff>533400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E7CC4-A536-4ED7-A334-4049DEFDB669}">
  <sheetPr codeName="Feuil4"/>
  <dimension ref="B2:L4"/>
  <sheetViews>
    <sheetView showGridLines="0" showZeros="0" workbookViewId="0">
      <selection activeCell="B8" sqref="B8"/>
    </sheetView>
  </sheetViews>
  <sheetFormatPr baseColWidth="10" defaultRowHeight="15" x14ac:dyDescent="0.25"/>
  <cols>
    <col min="1" max="1" width="5.7109375" style="158" customWidth="1"/>
    <col min="2" max="2" width="20.7109375" style="158" customWidth="1"/>
    <col min="3" max="5" width="15.7109375" style="158" customWidth="1"/>
    <col min="6" max="6" width="16.5703125" style="158" customWidth="1"/>
    <col min="7" max="7" width="15.7109375" style="158" customWidth="1"/>
    <col min="8" max="8" width="17.140625" style="158" customWidth="1"/>
    <col min="9" max="10" width="11.42578125" style="158"/>
    <col min="11" max="11" width="25.7109375" style="158" customWidth="1"/>
    <col min="12" max="12" width="25.42578125" style="158" customWidth="1"/>
    <col min="13" max="16384" width="11.42578125" style="158"/>
  </cols>
  <sheetData>
    <row r="2" spans="2:12" s="179" customFormat="1" ht="30" customHeight="1" x14ac:dyDescent="0.25">
      <c r="B2" s="176" t="s">
        <v>4</v>
      </c>
      <c r="C2" s="177" t="s">
        <v>88</v>
      </c>
      <c r="D2" s="177" t="s">
        <v>89</v>
      </c>
      <c r="E2" s="177" t="s">
        <v>54</v>
      </c>
      <c r="F2" s="177" t="s">
        <v>90</v>
      </c>
      <c r="G2" s="177" t="s">
        <v>71</v>
      </c>
      <c r="H2" s="177" t="s">
        <v>91</v>
      </c>
      <c r="I2" s="178" t="s">
        <v>92</v>
      </c>
      <c r="K2" s="180" t="s">
        <v>100</v>
      </c>
      <c r="L2" s="168"/>
    </row>
    <row r="3" spans="2:12" ht="15.75" x14ac:dyDescent="0.25">
      <c r="B3" s="161"/>
      <c r="C3" s="162"/>
      <c r="D3" s="163"/>
      <c r="E3" s="164"/>
      <c r="F3" s="164"/>
      <c r="G3" s="164"/>
      <c r="H3" s="164"/>
      <c r="I3" s="165"/>
      <c r="L3" s="181" t="s">
        <v>101</v>
      </c>
    </row>
    <row r="4" spans="2:12" s="1" customFormat="1" x14ac:dyDescent="0.25"/>
  </sheetData>
  <dataValidations count="1">
    <dataValidation type="list" allowBlank="1" showInputMessage="1" showErrorMessage="1" sqref="L2" xr:uid="{55BF14A7-DBEE-432E-80E5-376347D19351}">
      <formula1>$B$3:$B$3</formula1>
    </dataValidation>
  </dataValidations>
  <hyperlinks>
    <hyperlink ref="L3" location="'Recherche facture'!A1" display="Réédition d'une facture" xr:uid="{EF4840EB-074B-40B5-91B2-894CA6825FB2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9932C-2D68-4877-8F43-485CE2E6ED84}">
  <sheetPr codeName="Feuil6">
    <outlinePr summaryBelow="0" summaryRight="0"/>
    <pageSetUpPr fitToPage="1"/>
  </sheetPr>
  <dimension ref="A1:E66"/>
  <sheetViews>
    <sheetView showGridLines="0" showZeros="0" zoomScale="106" zoomScaleNormal="106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2" sqref="C2"/>
    </sheetView>
  </sheetViews>
  <sheetFormatPr baseColWidth="10" defaultRowHeight="15.75" outlineLevelRow="1" x14ac:dyDescent="0.25"/>
  <cols>
    <col min="1" max="1" width="8.7109375" style="15" customWidth="1"/>
    <col min="2" max="2" width="49.28515625" style="15" bestFit="1" customWidth="1"/>
    <col min="3" max="3" width="30.7109375" style="15" customWidth="1"/>
    <col min="4" max="4" width="12.7109375" style="18" customWidth="1"/>
    <col min="5" max="5" width="18.7109375" style="18" customWidth="1"/>
    <col min="6" max="16384" width="11.42578125" style="15"/>
  </cols>
  <sheetData>
    <row r="1" spans="1:5" x14ac:dyDescent="0.25">
      <c r="A1" s="160">
        <v>5</v>
      </c>
    </row>
    <row r="2" spans="1:5" x14ac:dyDescent="0.25">
      <c r="B2" s="16" t="s">
        <v>4</v>
      </c>
      <c r="C2" s="24">
        <f>'Récap facture'!L2</f>
        <v>0</v>
      </c>
      <c r="D2" s="190" t="s">
        <v>55</v>
      </c>
      <c r="E2" s="191"/>
    </row>
    <row r="3" spans="1:5" x14ac:dyDescent="0.25">
      <c r="B3" s="16" t="s">
        <v>5</v>
      </c>
      <c r="C3" s="24" t="str">
        <f>IFERROR(INDEX(T_BdD[Prénom],MATCH($C$2,T_BdD[Nom],0)),"")</f>
        <v/>
      </c>
      <c r="D3" s="192"/>
      <c r="E3" s="193"/>
    </row>
    <row r="4" spans="1:5" x14ac:dyDescent="0.25">
      <c r="B4" s="16" t="s">
        <v>56</v>
      </c>
      <c r="C4" s="24" t="str">
        <f>IFERROR(INDEX(T_BdD[Adresse],MATCH($C$2,T_BdD[Nom],0)),"")</f>
        <v/>
      </c>
      <c r="D4" s="192"/>
      <c r="E4" s="193"/>
    </row>
    <row r="5" spans="1:5" x14ac:dyDescent="0.25">
      <c r="B5" s="16" t="s">
        <v>59</v>
      </c>
      <c r="C5" s="24" t="str">
        <f>IFERROR(TEXT(INDEX(T_BdD[Code postal],MATCH($C$2,T_BdD[Nom],0)),"00000")&amp;" "&amp;INDEX(T_BdD[Ville],MATCH($C$2,T_BdD[Nom],0)),"")</f>
        <v/>
      </c>
      <c r="D5" s="192"/>
      <c r="E5" s="193"/>
    </row>
    <row r="6" spans="1:5" x14ac:dyDescent="0.25">
      <c r="B6" s="16" t="s">
        <v>25</v>
      </c>
      <c r="C6" s="25" t="str">
        <f>IFERROR(INDEX(T_BdD[Téléphone],MATCH($C$2,T_BdD[Nom],0)),"")</f>
        <v/>
      </c>
      <c r="D6" s="192"/>
      <c r="E6" s="193"/>
    </row>
    <row r="7" spans="1:5" x14ac:dyDescent="0.25">
      <c r="B7" s="16" t="s">
        <v>7</v>
      </c>
      <c r="C7" s="24" t="str">
        <f>IFERROR(INDEX(T_BdD[Adresse mail],MATCH($C$2,T_BdD[Nom],0)),"")</f>
        <v/>
      </c>
      <c r="D7" s="192"/>
      <c r="E7" s="193"/>
    </row>
    <row r="8" spans="1:5" x14ac:dyDescent="0.25">
      <c r="B8" s="16" t="s">
        <v>23</v>
      </c>
      <c r="C8" s="24" t="str">
        <f>IFERROR(INDEX(T_BdD[Contact],MATCH($C$2,T_BdD[Nom],0)),"")</f>
        <v/>
      </c>
      <c r="D8" s="192"/>
      <c r="E8" s="193"/>
    </row>
    <row r="9" spans="1:5" x14ac:dyDescent="0.25">
      <c r="B9" s="16" t="s">
        <v>24</v>
      </c>
      <c r="C9" s="24" t="str">
        <f>IFERROR(INDEX(T_BdD[Lien avec l''enfant],MATCH($C$2,T_BdD[Nom],0)),"")</f>
        <v/>
      </c>
      <c r="D9" s="192"/>
      <c r="E9" s="193"/>
    </row>
    <row r="10" spans="1:5" x14ac:dyDescent="0.25">
      <c r="B10" s="16" t="s">
        <v>69</v>
      </c>
      <c r="C10" s="25" t="str">
        <f>IFERROR(INDEX(T_BdD[Téléphone2],MATCH($C$2,T_BdD[Nom],0)),"")</f>
        <v/>
      </c>
      <c r="D10" s="192"/>
      <c r="E10" s="193"/>
    </row>
    <row r="11" spans="1:5" x14ac:dyDescent="0.25">
      <c r="B11" s="19"/>
      <c r="C11" s="17"/>
      <c r="D11" s="192"/>
      <c r="E11" s="193"/>
    </row>
    <row r="12" spans="1:5" x14ac:dyDescent="0.25">
      <c r="B12" s="16" t="s">
        <v>8</v>
      </c>
      <c r="C12" s="55" t="str">
        <f>IFERROR(INDEX(T_BdD[Age],MATCH($C$2,T_BdD[Nom],0)),"")</f>
        <v/>
      </c>
      <c r="D12" s="192"/>
      <c r="E12" s="193"/>
    </row>
    <row r="13" spans="1:5" x14ac:dyDescent="0.25">
      <c r="B13" s="16" t="s">
        <v>6</v>
      </c>
      <c r="C13" s="24" t="str">
        <f>IFERROR(INDEX(T_BdD[Quotient familial],MATCH($C$2,T_BdD[Nom],0)),"")</f>
        <v/>
      </c>
      <c r="D13" s="192"/>
      <c r="E13" s="193"/>
    </row>
    <row r="14" spans="1:5" x14ac:dyDescent="0.25">
      <c r="B14" s="16" t="s">
        <v>20</v>
      </c>
      <c r="C14" s="24" t="str">
        <f>IFERROR(INDEX(T_BdD[Adhérent],MATCH($C$2,T_BdD[Nom],0)),"")</f>
        <v/>
      </c>
      <c r="D14" s="194"/>
      <c r="E14" s="195"/>
    </row>
    <row r="16" spans="1:5" x14ac:dyDescent="0.25">
      <c r="B16" s="157" t="s">
        <v>87</v>
      </c>
      <c r="C16" s="15" t="str">
        <f>IFERROR(INDEX(T_Récap_factures[N° Facture],MATCH($C$2,T_Récap_factures[Nom],0)),"")</f>
        <v/>
      </c>
    </row>
    <row r="17" spans="2:5" x14ac:dyDescent="0.25">
      <c r="B17" s="157" t="s">
        <v>26</v>
      </c>
      <c r="C17" s="159" t="str">
        <f>IFERROR(INDEX(T_Récap_factures[Date],MATCH($C$2,T_Récap_factures[Nom],0)),"")</f>
        <v/>
      </c>
      <c r="D17" s="153"/>
    </row>
    <row r="19" spans="2:5" s="20" customFormat="1" outlineLevel="1" x14ac:dyDescent="0.25">
      <c r="B19" s="26" t="s">
        <v>54</v>
      </c>
      <c r="C19" s="199" t="s">
        <v>17</v>
      </c>
      <c r="D19" s="200"/>
      <c r="E19" s="27" t="s">
        <v>18</v>
      </c>
    </row>
    <row r="20" spans="2:5" outlineLevel="1" x14ac:dyDescent="0.25">
      <c r="B20" s="147">
        <f>IFERROR(INDEX(Planning!$BA$3:$BA$50,MATCH($C$2,Planning!B3:B50,0)),0)</f>
        <v>0</v>
      </c>
      <c r="C20" s="201" t="str">
        <f>IFERROR(INDEX(L_periode,MATCH($B$20,Péricentre,0)),"")</f>
        <v/>
      </c>
      <c r="D20" s="201"/>
      <c r="E20" s="148" t="str">
        <f>IFERROR(INDEX(T_Récap_factures[Camp],MATCH($C$2,T_Récap_factures[Nom],0)),"")</f>
        <v/>
      </c>
    </row>
    <row r="21" spans="2:5" ht="15" customHeight="1" x14ac:dyDescent="0.25"/>
    <row r="22" spans="2:5" outlineLevel="1" x14ac:dyDescent="0.25">
      <c r="B22" s="28" t="s">
        <v>84</v>
      </c>
      <c r="C22" s="28" t="s">
        <v>17</v>
      </c>
      <c r="D22" s="28" t="s">
        <v>21</v>
      </c>
      <c r="E22" s="27" t="s">
        <v>18</v>
      </c>
    </row>
    <row r="23" spans="2:5" outlineLevel="1" x14ac:dyDescent="0.25">
      <c r="B23" s="93"/>
      <c r="C23" s="93"/>
      <c r="D23" s="30"/>
      <c r="E23" s="21"/>
    </row>
    <row r="24" spans="2:5" ht="15.75" customHeight="1" outlineLevel="1" x14ac:dyDescent="0.25">
      <c r="B24" s="31" t="str">
        <f>IF(ISNUMBER(SEARCH("journée",INDEX(Planning!$D$3:$D$50,MATCH($C$2,Planning!$B$3:$B$50,0)))),INDEX(Planning!$D$3:$D$50,MATCH($C$2,Planning!$B$3:$B$50,0)),"")</f>
        <v/>
      </c>
      <c r="C24" s="32">
        <v>43654</v>
      </c>
      <c r="D24" s="33">
        <f>IFERROR(INDEX(Planning!$E$3:$E$50,MATCH($C$2,Planning!$B$3:$B$50,0)),0)</f>
        <v>0</v>
      </c>
      <c r="E24" s="34">
        <f>IF(D24&gt;0,IFERROR(IF($C$14="oui",VLOOKUP($C$13,Paramètres!$B$24:$D$28,2,1),VLOOKUP($C$13,Paramètres!$B$31:$D$35,2,1)),""),0)</f>
        <v>0</v>
      </c>
    </row>
    <row r="25" spans="2:5" outlineLevel="1" x14ac:dyDescent="0.25">
      <c r="B25" s="31" t="str">
        <f>$B$24</f>
        <v/>
      </c>
      <c r="C25" s="32">
        <f>C24+1</f>
        <v>43655</v>
      </c>
      <c r="D25" s="33">
        <f>IFERROR(INDEX(Planning!$F$3:$F$50,MATCH($C$2,Planning!$B$3:$B$50,0)),0)</f>
        <v>0</v>
      </c>
      <c r="E25" s="34">
        <f>IF(D25&gt;0,IFERROR(IF($C$14="oui",VLOOKUP($C$13,Paramètres!$B$24:$D$28,2,1),VLOOKUP($C$13,Paramètres!$B$31:$D$35,2,1)),""),0)</f>
        <v>0</v>
      </c>
    </row>
    <row r="26" spans="2:5" outlineLevel="1" x14ac:dyDescent="0.25">
      <c r="B26" s="31" t="str">
        <f t="shared" ref="B26:B28" si="0">$B$24</f>
        <v/>
      </c>
      <c r="C26" s="32">
        <f t="shared" ref="C26:C28" si="1">C25+1</f>
        <v>43656</v>
      </c>
      <c r="D26" s="33">
        <f>IFERROR(INDEX(Planning!$G$3:$G$50,MATCH($C$2,Planning!$B$3:$B$50,0)),0)</f>
        <v>0</v>
      </c>
      <c r="E26" s="34">
        <f>IF(D26&gt;0,IFERROR(IF($C$14="oui",VLOOKUP($C$13,Paramètres!$B$24:$D$28,2,1),VLOOKUP($C$13,Paramètres!$B$31:$D$35,2,1)),""),0)</f>
        <v>0</v>
      </c>
    </row>
    <row r="27" spans="2:5" outlineLevel="1" x14ac:dyDescent="0.25">
      <c r="B27" s="31" t="str">
        <f t="shared" si="0"/>
        <v/>
      </c>
      <c r="C27" s="32">
        <f t="shared" si="1"/>
        <v>43657</v>
      </c>
      <c r="D27" s="33">
        <f>IFERROR(INDEX(Planning!$H$3:$H$50,MATCH($C$2,Planning!$B$3:$B$50,0)),0)</f>
        <v>0</v>
      </c>
      <c r="E27" s="34">
        <f>IF(D27&gt;0,IFERROR(IF($C$14="oui",VLOOKUP($C$13,Paramètres!$B$24:$D$28,2,1),VLOOKUP($C$13,Paramètres!$B$31:$D$35,2,1)),""),0)</f>
        <v>0</v>
      </c>
    </row>
    <row r="28" spans="2:5" outlineLevel="1" x14ac:dyDescent="0.25">
      <c r="B28" s="31" t="str">
        <f t="shared" si="0"/>
        <v/>
      </c>
      <c r="C28" s="32">
        <f t="shared" si="1"/>
        <v>43658</v>
      </c>
      <c r="D28" s="33">
        <f>IFERROR(INDEX(Planning!$I$3:$I$50,MATCH($C$2,Planning!$B$3:$B$50,0)),0)</f>
        <v>0</v>
      </c>
      <c r="E28" s="34">
        <f>IF(D28&gt;0,IFERROR(IF($C$14="oui",VLOOKUP($C$13,Paramètres!$B$24:$D$28,2,1),VLOOKUP($C$13,Paramètres!$B$31:$D$35,2,1)),""),0)</f>
        <v>0</v>
      </c>
    </row>
    <row r="29" spans="2:5" outlineLevel="1" x14ac:dyDescent="0.25">
      <c r="B29" s="35"/>
      <c r="C29" s="35"/>
      <c r="D29" s="33"/>
      <c r="E29" s="34"/>
    </row>
    <row r="30" spans="2:5" outlineLevel="1" x14ac:dyDescent="0.25">
      <c r="B30" s="31" t="str">
        <f t="shared" ref="B30:B34" si="2">$B$24</f>
        <v/>
      </c>
      <c r="C30" s="32">
        <f>C28+3</f>
        <v>43661</v>
      </c>
      <c r="D30" s="33">
        <f>IFERROR(INDEX(Planning!$L$3:$L$50,MATCH($C$2,Planning!$B$3:$B$50,0)),0)</f>
        <v>0</v>
      </c>
      <c r="E30" s="34">
        <f>IF(D30&gt;0,IFERROR(IF($C$14="oui",VLOOKUP($C$13,Paramètres!$B$24:$D$28,2,1),VLOOKUP($C$13,Paramètres!$B$31:$D$35,2,1)),""),0)</f>
        <v>0</v>
      </c>
    </row>
    <row r="31" spans="2:5" outlineLevel="1" x14ac:dyDescent="0.25">
      <c r="B31" s="31" t="str">
        <f t="shared" si="2"/>
        <v/>
      </c>
      <c r="C31" s="32">
        <f>C30+1</f>
        <v>43662</v>
      </c>
      <c r="D31" s="33">
        <f>IFERROR(INDEX(Planning!$M$3:$M$50,MATCH($C$2,Planning!$B$3:$B$50,0)),0)</f>
        <v>0</v>
      </c>
      <c r="E31" s="34">
        <f>IF(D31&gt;0,IFERROR(IF($C$14="oui",VLOOKUP($C$13,Paramètres!$B$24:$D$28,2,1),VLOOKUP($C$13,Paramètres!$B$31:$D$35,2,1)),""),0)</f>
        <v>0</v>
      </c>
    </row>
    <row r="32" spans="2:5" outlineLevel="1" x14ac:dyDescent="0.25">
      <c r="B32" s="31" t="str">
        <f t="shared" si="2"/>
        <v/>
      </c>
      <c r="C32" s="32">
        <f t="shared" ref="C32:C34" si="3">C31+1</f>
        <v>43663</v>
      </c>
      <c r="D32" s="33">
        <f>IFERROR(INDEX(Planning!$N$3:$N$50,MATCH($C$2,Planning!$B$3:$B$50,0)),0)</f>
        <v>0</v>
      </c>
      <c r="E32" s="34">
        <f>IF(D32&gt;0,IFERROR(IF($C$14="oui",VLOOKUP($C$13,Paramètres!$B$24:$D$28,2,1),VLOOKUP($C$13,Paramètres!$B$31:$D$35,2,1)),""),0)</f>
        <v>0</v>
      </c>
    </row>
    <row r="33" spans="2:5" outlineLevel="1" x14ac:dyDescent="0.25">
      <c r="B33" s="31" t="str">
        <f t="shared" si="2"/>
        <v/>
      </c>
      <c r="C33" s="32">
        <f t="shared" si="3"/>
        <v>43664</v>
      </c>
      <c r="D33" s="33">
        <f>IFERROR(INDEX(Planning!$O$3:$O$50,MATCH($C$2,Planning!$B$3:$B$50,0)),0)</f>
        <v>0</v>
      </c>
      <c r="E33" s="34">
        <f>IF(D33&gt;0,IFERROR(IF($C$14="oui",VLOOKUP($C$13,Paramètres!$B$24:$D$28,2,1),VLOOKUP($C$13,Paramètres!$B$31:$D$35,2,1)),""),0)</f>
        <v>0</v>
      </c>
    </row>
    <row r="34" spans="2:5" outlineLevel="1" x14ac:dyDescent="0.25">
      <c r="B34" s="31" t="str">
        <f t="shared" si="2"/>
        <v/>
      </c>
      <c r="C34" s="32">
        <f t="shared" si="3"/>
        <v>43665</v>
      </c>
      <c r="D34" s="33">
        <f>IFERROR(INDEX(Planning!$P$3:$P$50,MATCH($C$2,Planning!$B$3:$B$50,0)),0)</f>
        <v>0</v>
      </c>
      <c r="E34" s="34">
        <f>IF(D34&gt;0,IFERROR(IF($C$14="oui",VLOOKUP($C$13,Paramètres!$B$24:$D$28,2,1),VLOOKUP($C$13,Paramètres!$B$31:$D$35,2,1)),""),0)</f>
        <v>0</v>
      </c>
    </row>
    <row r="35" spans="2:5" outlineLevel="1" x14ac:dyDescent="0.25">
      <c r="B35" s="35"/>
      <c r="C35" s="35"/>
      <c r="D35" s="33"/>
      <c r="E35" s="34"/>
    </row>
    <row r="36" spans="2:5" outlineLevel="1" x14ac:dyDescent="0.25">
      <c r="B36" s="31" t="str">
        <f t="shared" ref="B36:B40" si="4">$B$24</f>
        <v/>
      </c>
      <c r="C36" s="32">
        <f>C34+3</f>
        <v>43668</v>
      </c>
      <c r="D36" s="33">
        <f>IFERROR(INDEX(Planning!$S$3:$S$50,MATCH($C$2,Planning!$B$3:$B$50,0)),0)</f>
        <v>0</v>
      </c>
      <c r="E36" s="34">
        <f>IF(D36&gt;0,IFERROR(IF($C$14="oui",VLOOKUP($C$13,Paramètres!$B$24:$D$28,2,1),VLOOKUP($C$13,Paramètres!$B$31:$D$35,2,1)),""),0)</f>
        <v>0</v>
      </c>
    </row>
    <row r="37" spans="2:5" outlineLevel="1" x14ac:dyDescent="0.25">
      <c r="B37" s="31" t="str">
        <f t="shared" si="4"/>
        <v/>
      </c>
      <c r="C37" s="32">
        <f>C36+1</f>
        <v>43669</v>
      </c>
      <c r="D37" s="33">
        <f>IFERROR(INDEX(Planning!$T$3:$T$50,MATCH($C$2,Planning!$B$3:$B$50,0)),0)</f>
        <v>0</v>
      </c>
      <c r="E37" s="34">
        <f>IF(D37&gt;0,IFERROR(IF($C$14="oui",VLOOKUP($C$13,Paramètres!$B$24:$D$28,2,1),VLOOKUP($C$13,Paramètres!$B$31:$D$35,2,1)),""),0)</f>
        <v>0</v>
      </c>
    </row>
    <row r="38" spans="2:5" outlineLevel="1" x14ac:dyDescent="0.25">
      <c r="B38" s="31" t="str">
        <f t="shared" si="4"/>
        <v/>
      </c>
      <c r="C38" s="32">
        <f t="shared" ref="C38:C40" si="5">C37+1</f>
        <v>43670</v>
      </c>
      <c r="D38" s="33">
        <f>IFERROR(INDEX(Planning!$U$3:$U$50,MATCH($C$2,Planning!$B$3:$B$50,0)),0)</f>
        <v>0</v>
      </c>
      <c r="E38" s="34">
        <f>IF(D38&gt;0,IFERROR(IF($C$14="oui",VLOOKUP($C$13,Paramètres!$B$24:$D$28,2,1),VLOOKUP($C$13,Paramètres!$B$31:$D$35,2,1)),""),0)</f>
        <v>0</v>
      </c>
    </row>
    <row r="39" spans="2:5" outlineLevel="1" x14ac:dyDescent="0.25">
      <c r="B39" s="31" t="str">
        <f t="shared" si="4"/>
        <v/>
      </c>
      <c r="C39" s="32">
        <f t="shared" si="5"/>
        <v>43671</v>
      </c>
      <c r="D39" s="33">
        <f>IFERROR(INDEX(Planning!$V$3:$V$50,MATCH($C$2,Planning!$B$3:$B$50,0)),0)</f>
        <v>0</v>
      </c>
      <c r="E39" s="34">
        <f>IF(D39&gt;0,IFERROR(IF($C$14="oui",VLOOKUP($C$13,Paramètres!$B$24:$D$28,2,1),VLOOKUP($C$13,Paramètres!$B$31:$D$35,2,1)),""),0)</f>
        <v>0</v>
      </c>
    </row>
    <row r="40" spans="2:5" outlineLevel="1" x14ac:dyDescent="0.25">
      <c r="B40" s="31" t="str">
        <f t="shared" si="4"/>
        <v/>
      </c>
      <c r="C40" s="32">
        <f t="shared" si="5"/>
        <v>43672</v>
      </c>
      <c r="D40" s="33">
        <f>IFERROR(INDEX(Planning!$W$3:$W$50,MATCH($C$2,Planning!$B$3:$B$50,0)),0)</f>
        <v>0</v>
      </c>
      <c r="E40" s="34">
        <f>IF(D40&gt;0,IFERROR(IF($C$14="oui",VLOOKUP($C$13,Paramètres!$B$24:$D$28,2,1),VLOOKUP($C$13,Paramètres!$B$31:$D$35,2,1)),""),0)</f>
        <v>0</v>
      </c>
    </row>
    <row r="41" spans="2:5" outlineLevel="1" x14ac:dyDescent="0.25">
      <c r="B41" s="22"/>
      <c r="C41" s="154"/>
      <c r="D41" s="87"/>
      <c r="E41" s="23"/>
    </row>
    <row r="42" spans="2:5" ht="15" customHeight="1" x14ac:dyDescent="0.25"/>
    <row r="43" spans="2:5" outlineLevel="1" x14ac:dyDescent="0.25">
      <c r="B43" s="28" t="s">
        <v>71</v>
      </c>
      <c r="C43" s="28" t="s">
        <v>86</v>
      </c>
      <c r="D43" s="28" t="s">
        <v>85</v>
      </c>
      <c r="E43" s="27" t="s">
        <v>18</v>
      </c>
    </row>
    <row r="44" spans="2:5" outlineLevel="1" x14ac:dyDescent="0.25">
      <c r="B44" s="93"/>
      <c r="C44" s="93"/>
      <c r="D44" s="30"/>
      <c r="E44" s="21"/>
    </row>
    <row r="45" spans="2:5" outlineLevel="1" x14ac:dyDescent="0.25">
      <c r="B45" s="31" t="s">
        <v>80</v>
      </c>
      <c r="C45" s="34">
        <v>1.25</v>
      </c>
      <c r="D45" s="145">
        <f>IFERROR(INDEX(Planning!$AS$3:$AS$50,MATCH($C$2,Planning!$B$3:$B$50,0)),0)</f>
        <v>0</v>
      </c>
      <c r="E45" s="34">
        <f>IF(D45&lt;&gt;0,C45*D45,0)</f>
        <v>0</v>
      </c>
    </row>
    <row r="46" spans="2:5" outlineLevel="1" x14ac:dyDescent="0.25">
      <c r="B46" s="31" t="s">
        <v>81</v>
      </c>
      <c r="C46" s="34">
        <v>1.25</v>
      </c>
      <c r="D46" s="145">
        <f>IFERROR(INDEX(Planning!$AT$3:$AT$50,MATCH($C$2,Planning!$B$3:$B$50,0)),0)</f>
        <v>0</v>
      </c>
      <c r="E46" s="34">
        <f t="shared" ref="E46:E47" si="6">IF(D46&lt;&gt;0,C46*D46,0)</f>
        <v>0</v>
      </c>
    </row>
    <row r="47" spans="2:5" outlineLevel="1" x14ac:dyDescent="0.25">
      <c r="B47" s="31" t="s">
        <v>82</v>
      </c>
      <c r="C47" s="34">
        <v>2.5</v>
      </c>
      <c r="D47" s="145">
        <f>IFERROR(INDEX(Planning!$AU$3:$AU$50,MATCH($C$2,Planning!$B$3:$B$50,0)),0)</f>
        <v>0</v>
      </c>
      <c r="E47" s="34">
        <f t="shared" si="6"/>
        <v>0</v>
      </c>
    </row>
    <row r="48" spans="2:5" outlineLevel="1" x14ac:dyDescent="0.25">
      <c r="B48" s="149"/>
      <c r="C48" s="150"/>
      <c r="D48" s="151"/>
      <c r="E48" s="152"/>
    </row>
    <row r="49" spans="2:5" ht="15" customHeight="1" x14ac:dyDescent="0.25"/>
    <row r="50" spans="2:5" outlineLevel="1" x14ac:dyDescent="0.25">
      <c r="B50" s="28" t="s">
        <v>40</v>
      </c>
      <c r="C50" s="28" t="s">
        <v>17</v>
      </c>
      <c r="D50" s="28" t="s">
        <v>21</v>
      </c>
      <c r="E50" s="27" t="s">
        <v>18</v>
      </c>
    </row>
    <row r="51" spans="2:5" outlineLevel="1" x14ac:dyDescent="0.25">
      <c r="B51" s="35"/>
      <c r="C51" s="35"/>
      <c r="D51" s="33"/>
      <c r="E51" s="34"/>
    </row>
    <row r="52" spans="2:5" outlineLevel="1" x14ac:dyDescent="0.25">
      <c r="B52" s="31" t="str">
        <f>IF(ISNUMBER(SEARCH("semaine",INDEX(Planning!$D$3:$D$50,MATCH($C$2,Planning!$B$3:$B$50,0)))),INDEX(Planning!$D$3:$D$50,MATCH($C$2,Planning!$B$3:$B$50,0)),"")</f>
        <v/>
      </c>
      <c r="C52" s="35" t="str">
        <f>"Semaine "&amp;WEEKNUM(C24,2)</f>
        <v>Semaine 28</v>
      </c>
      <c r="D52" s="145">
        <f>IFERROR(INDEX(Planning!$AW$3:$AW$50,MATCH($C$2,Planning!$B$3:$B$50,0)),0)</f>
        <v>0</v>
      </c>
      <c r="E52" s="34">
        <f>IF(D52&gt;0,IFERROR(IF($C$14="oui",VLOOKUP($C$13,Paramètres!$B$24:$D$28,3,1),VLOOKUP($C$13,Paramètres!$B$31:$D$35,3,1)),""),0)</f>
        <v>0</v>
      </c>
    </row>
    <row r="53" spans="2:5" outlineLevel="1" x14ac:dyDescent="0.25">
      <c r="B53" s="31" t="str">
        <f>B52</f>
        <v/>
      </c>
      <c r="C53" s="35" t="str">
        <f>"Semaine "&amp;WEEKNUM(C30,2)</f>
        <v>Semaine 29</v>
      </c>
      <c r="D53" s="145">
        <f>IFERROR(INDEX(Planning!$AX$3:$AX$50,MATCH($C$2,Planning!$B$3:$B$50,0)),0)</f>
        <v>0</v>
      </c>
      <c r="E53" s="34">
        <f>IF(D53&gt;0,IFERROR(IF($C$14="oui",VLOOKUP($C$13,Paramètres!$B$24:$D$28,3,1),VLOOKUP($C$13,Paramètres!$B$31:$D$35,3,1)),""),0)</f>
        <v>0</v>
      </c>
    </row>
    <row r="54" spans="2:5" outlineLevel="1" x14ac:dyDescent="0.25">
      <c r="B54" s="31" t="str">
        <f>B52</f>
        <v/>
      </c>
      <c r="C54" s="35" t="str">
        <f>"Semaine "&amp;WEEKNUM(C36,2)</f>
        <v>Semaine 30</v>
      </c>
      <c r="D54" s="145">
        <f>IFERROR(INDEX(Planning!$AY$3:$AY$50,MATCH($C$2,Planning!$B$3:$B$50,0)),0)</f>
        <v>0</v>
      </c>
      <c r="E54" s="34">
        <f>IF(D54&gt;0,IFERROR(IF($C$14="oui",VLOOKUP($C$13,Paramètres!$B$24:$D$28,3,1),VLOOKUP($C$13,Paramètres!$B$31:$D$35,3,1)),""),0)</f>
        <v>0</v>
      </c>
    </row>
    <row r="55" spans="2:5" outlineLevel="1" x14ac:dyDescent="0.25">
      <c r="B55" s="22"/>
      <c r="C55" s="85"/>
      <c r="D55" s="87"/>
      <c r="E55" s="23"/>
    </row>
    <row r="56" spans="2:5" ht="15" customHeight="1" x14ac:dyDescent="0.25"/>
    <row r="57" spans="2:5" x14ac:dyDescent="0.25">
      <c r="B57" s="196" t="s">
        <v>83</v>
      </c>
      <c r="C57" s="197"/>
      <c r="D57" s="198"/>
      <c r="E57" s="29">
        <f>SUM(E19:E56)</f>
        <v>0</v>
      </c>
    </row>
    <row r="58" spans="2:5" x14ac:dyDescent="0.25">
      <c r="B58" s="169"/>
      <c r="C58" s="169"/>
      <c r="D58" s="170"/>
      <c r="E58" s="170"/>
    </row>
    <row r="59" spans="2:5" x14ac:dyDescent="0.25">
      <c r="B59" s="189" t="s">
        <v>99</v>
      </c>
      <c r="C59" s="189"/>
      <c r="D59" s="189"/>
      <c r="E59" s="189"/>
    </row>
    <row r="60" spans="2:5" x14ac:dyDescent="0.25">
      <c r="B60" s="171"/>
      <c r="C60" s="171"/>
      <c r="D60" s="171"/>
      <c r="E60" s="171"/>
    </row>
    <row r="61" spans="2:5" x14ac:dyDescent="0.25">
      <c r="B61" s="173"/>
      <c r="C61" s="171"/>
      <c r="D61" s="171"/>
      <c r="E61" s="171"/>
    </row>
    <row r="62" spans="2:5" x14ac:dyDescent="0.25">
      <c r="B62" s="175" t="s">
        <v>95</v>
      </c>
      <c r="D62" s="15"/>
      <c r="E62" s="15"/>
    </row>
    <row r="63" spans="2:5" x14ac:dyDescent="0.25">
      <c r="B63" s="172" t="s">
        <v>96</v>
      </c>
      <c r="D63" s="15"/>
      <c r="E63" s="15"/>
    </row>
    <row r="64" spans="2:5" x14ac:dyDescent="0.25">
      <c r="B64" s="172" t="s">
        <v>97</v>
      </c>
      <c r="D64" s="15"/>
      <c r="E64" s="15"/>
    </row>
    <row r="65" spans="2:5" x14ac:dyDescent="0.25">
      <c r="B65" s="172" t="s">
        <v>98</v>
      </c>
      <c r="D65" s="15"/>
      <c r="E65" s="15"/>
    </row>
    <row r="66" spans="2:5" x14ac:dyDescent="0.25">
      <c r="B66" s="174"/>
    </row>
  </sheetData>
  <mergeCells count="5">
    <mergeCell ref="D2:E14"/>
    <mergeCell ref="C19:D19"/>
    <mergeCell ref="C20:D20"/>
    <mergeCell ref="B57:D57"/>
    <mergeCell ref="B59:E59"/>
  </mergeCells>
  <printOptions horizontalCentered="1" verticalCentered="1"/>
  <pageMargins left="0" right="0.39370078740157483" top="0" bottom="0" header="0" footer="0"/>
  <pageSetup paperSize="9" scale="8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D32B-4409-4F2A-877A-669213B2D739}">
  <sheetPr codeName="Feuil5"/>
  <dimension ref="B1:J51"/>
  <sheetViews>
    <sheetView showGridLines="0" tabSelected="1" workbookViewId="0">
      <selection activeCell="B46" sqref="B46"/>
    </sheetView>
  </sheetViews>
  <sheetFormatPr baseColWidth="10" defaultColWidth="83.85546875" defaultRowHeight="15" x14ac:dyDescent="0.25"/>
  <cols>
    <col min="1" max="1" width="2.7109375" customWidth="1"/>
    <col min="2" max="2" width="24.85546875" style="2" bestFit="1" customWidth="1"/>
    <col min="3" max="6" width="25.7109375" customWidth="1"/>
    <col min="7" max="7" width="25.7109375" style="2" customWidth="1"/>
    <col min="8" max="10" width="25.7109375" customWidth="1"/>
    <col min="11" max="61" width="12.7109375" customWidth="1"/>
  </cols>
  <sheetData>
    <row r="1" spans="2:7" ht="18.75" x14ac:dyDescent="0.3">
      <c r="B1" s="202" t="s">
        <v>0</v>
      </c>
      <c r="C1" s="202"/>
      <c r="D1" s="202"/>
      <c r="E1" s="202"/>
      <c r="F1" s="202"/>
      <c r="G1" s="202"/>
    </row>
    <row r="2" spans="2:7" ht="18.75" x14ac:dyDescent="0.3">
      <c r="B2" s="184" t="s">
        <v>17</v>
      </c>
      <c r="C2" s="88" t="s">
        <v>10</v>
      </c>
      <c r="D2" s="88" t="s">
        <v>12</v>
      </c>
      <c r="E2" s="88" t="s">
        <v>14</v>
      </c>
      <c r="F2" s="185" t="s">
        <v>16</v>
      </c>
      <c r="G2" s="183"/>
    </row>
    <row r="3" spans="2:7" s="3" customFormat="1" ht="30" x14ac:dyDescent="0.25">
      <c r="B3" s="7" t="s">
        <v>19</v>
      </c>
      <c r="C3" s="7" t="s">
        <v>9</v>
      </c>
      <c r="D3" s="7" t="s">
        <v>11</v>
      </c>
      <c r="E3" s="7" t="s">
        <v>13</v>
      </c>
      <c r="F3" s="7" t="s">
        <v>15</v>
      </c>
      <c r="G3" s="9"/>
    </row>
    <row r="4" spans="2:7" x14ac:dyDescent="0.25">
      <c r="B4" s="67">
        <v>0</v>
      </c>
      <c r="C4" s="5">
        <v>40</v>
      </c>
      <c r="D4" s="5">
        <v>70</v>
      </c>
      <c r="E4" s="5">
        <v>80</v>
      </c>
      <c r="F4" s="68">
        <v>95</v>
      </c>
    </row>
    <row r="5" spans="2:7" x14ac:dyDescent="0.25">
      <c r="B5" s="69">
        <v>601</v>
      </c>
      <c r="C5" s="6">
        <v>45</v>
      </c>
      <c r="D5" s="6">
        <v>80</v>
      </c>
      <c r="E5" s="6">
        <v>90</v>
      </c>
      <c r="F5" s="70">
        <v>105</v>
      </c>
    </row>
    <row r="6" spans="2:7" x14ac:dyDescent="0.25">
      <c r="B6" s="69">
        <v>1001</v>
      </c>
      <c r="C6" s="6">
        <v>50</v>
      </c>
      <c r="D6" s="6">
        <v>90</v>
      </c>
      <c r="E6" s="6">
        <v>100</v>
      </c>
      <c r="F6" s="70">
        <v>115</v>
      </c>
    </row>
    <row r="7" spans="2:7" x14ac:dyDescent="0.25">
      <c r="B7" s="71">
        <v>1300</v>
      </c>
      <c r="C7" s="8">
        <v>55</v>
      </c>
      <c r="D7" s="8">
        <v>100</v>
      </c>
      <c r="E7" s="8">
        <v>110</v>
      </c>
      <c r="F7" s="72">
        <v>125</v>
      </c>
    </row>
    <row r="9" spans="2:7" ht="30" x14ac:dyDescent="0.25">
      <c r="B9" s="7" t="s">
        <v>19</v>
      </c>
      <c r="C9" s="7" t="s">
        <v>9</v>
      </c>
      <c r="D9" s="7" t="s">
        <v>11</v>
      </c>
      <c r="E9" s="7" t="s">
        <v>13</v>
      </c>
      <c r="F9" s="7" t="s">
        <v>15</v>
      </c>
      <c r="G9" s="7" t="s">
        <v>18</v>
      </c>
    </row>
    <row r="10" spans="2:7" x14ac:dyDescent="0.25">
      <c r="B10" s="74">
        <f>Facture!C13</f>
        <v>1500</v>
      </c>
      <c r="C10" s="89">
        <f>IF(AND(Facture!$C$14="oui",Facture!$B$20=Paramètres!C$3),VLOOKUP($B$10,B$4:F$7,2,1),0)</f>
        <v>0</v>
      </c>
      <c r="D10" s="89">
        <f>IF(AND(Facture!$C$14="oui",Facture!$B$20=Paramètres!D$3),VLOOKUP($B$10,B$4:F$7,3,1),0)</f>
        <v>0</v>
      </c>
      <c r="E10" s="89">
        <f>IF(AND(Facture!$C$14="oui",Facture!$B$20=Paramètres!E$3),VLOOKUP($B$10,B$4:F$7,4,1),0)</f>
        <v>0</v>
      </c>
      <c r="F10" s="89">
        <f>IF(AND(Facture!$C$14="oui",Facture!$B$20=Paramètres!F$3),VLOOKUP($B$10,B$4:F$7,5,1),0)</f>
        <v>0</v>
      </c>
      <c r="G10" s="75">
        <f>SUM(C10:F10)</f>
        <v>0</v>
      </c>
    </row>
    <row r="11" spans="2:7" x14ac:dyDescent="0.25">
      <c r="B11" s="10"/>
      <c r="C11" s="1"/>
      <c r="D11" s="1"/>
      <c r="E11" s="1"/>
      <c r="F11" s="1"/>
      <c r="G11" s="11"/>
    </row>
    <row r="12" spans="2:7" ht="18.75" x14ac:dyDescent="0.3">
      <c r="B12" s="202" t="s">
        <v>3</v>
      </c>
      <c r="C12" s="202"/>
      <c r="D12" s="202"/>
      <c r="E12" s="202"/>
      <c r="F12" s="202"/>
      <c r="G12" s="202"/>
    </row>
    <row r="13" spans="2:7" ht="18.75" x14ac:dyDescent="0.3">
      <c r="B13" s="184" t="s">
        <v>17</v>
      </c>
      <c r="C13" s="88" t="s">
        <v>10</v>
      </c>
      <c r="D13" s="88" t="s">
        <v>12</v>
      </c>
      <c r="E13" s="88" t="s">
        <v>14</v>
      </c>
      <c r="F13" s="185" t="s">
        <v>16</v>
      </c>
      <c r="G13" s="183"/>
    </row>
    <row r="14" spans="2:7" ht="30" x14ac:dyDescent="0.25">
      <c r="B14" s="7" t="s">
        <v>19</v>
      </c>
      <c r="C14" s="7" t="s">
        <v>9</v>
      </c>
      <c r="D14" s="7" t="s">
        <v>11</v>
      </c>
      <c r="E14" s="7" t="s">
        <v>13</v>
      </c>
      <c r="F14" s="7" t="s">
        <v>15</v>
      </c>
    </row>
    <row r="15" spans="2:7" x14ac:dyDescent="0.25">
      <c r="B15" s="67">
        <v>0</v>
      </c>
      <c r="C15" s="5">
        <v>70</v>
      </c>
      <c r="D15" s="5">
        <v>100</v>
      </c>
      <c r="E15" s="5">
        <v>110</v>
      </c>
      <c r="F15" s="68">
        <v>125</v>
      </c>
    </row>
    <row r="16" spans="2:7" x14ac:dyDescent="0.25">
      <c r="B16" s="69">
        <v>601</v>
      </c>
      <c r="C16" s="6">
        <v>75</v>
      </c>
      <c r="D16" s="6">
        <v>110</v>
      </c>
      <c r="E16" s="6">
        <v>120</v>
      </c>
      <c r="F16" s="70">
        <v>135</v>
      </c>
    </row>
    <row r="17" spans="2:10" x14ac:dyDescent="0.25">
      <c r="B17" s="69">
        <v>1001</v>
      </c>
      <c r="C17" s="6">
        <v>80</v>
      </c>
      <c r="D17" s="6">
        <v>120</v>
      </c>
      <c r="E17" s="6">
        <v>130</v>
      </c>
      <c r="F17" s="70">
        <v>145</v>
      </c>
    </row>
    <row r="18" spans="2:10" x14ac:dyDescent="0.25">
      <c r="B18" s="71">
        <v>1300</v>
      </c>
      <c r="C18" s="8">
        <v>95</v>
      </c>
      <c r="D18" s="8">
        <v>130</v>
      </c>
      <c r="E18" s="8">
        <v>140</v>
      </c>
      <c r="F18" s="72">
        <v>155</v>
      </c>
    </row>
    <row r="20" spans="2:10" ht="30" x14ac:dyDescent="0.25">
      <c r="B20" s="4" t="s">
        <v>19</v>
      </c>
      <c r="C20" s="4" t="s">
        <v>9</v>
      </c>
      <c r="D20" s="4" t="s">
        <v>11</v>
      </c>
      <c r="E20" s="4" t="s">
        <v>13</v>
      </c>
      <c r="F20" s="4" t="s">
        <v>15</v>
      </c>
      <c r="G20" s="4" t="s">
        <v>18</v>
      </c>
    </row>
    <row r="21" spans="2:10" x14ac:dyDescent="0.25">
      <c r="B21" s="76">
        <f>Tableau7[QF]</f>
        <v>1500</v>
      </c>
      <c r="C21" s="88">
        <f>IF(AND(Facture!$C$14="non",Facture!$B$20=Paramètres!C$14),VLOOKUP($B$21,$B$15:$F$18,2,1),0)</f>
        <v>0</v>
      </c>
      <c r="D21" s="88">
        <f>IF(AND(Facture!$C$14="non",Facture!$B$20=Paramètres!D$14),VLOOKUP($B$21,$B$15:$F$18,3,1),0)</f>
        <v>0</v>
      </c>
      <c r="E21" s="88">
        <f>IF(AND(Facture!$C$14="non",Facture!$B$20=Paramètres!E$14),VLOOKUP($B$21,$B$15:$F$18,4,1),0)</f>
        <v>0</v>
      </c>
      <c r="F21" s="88">
        <f>IF(AND(Facture!$C$14="non",Facture!$B$20=Paramètres!F$14),VLOOKUP($B$21,$B$15:$F$18,5,1),0)</f>
        <v>0</v>
      </c>
      <c r="G21" s="77">
        <f>SUM(C21:F21)</f>
        <v>0</v>
      </c>
    </row>
    <row r="22" spans="2:10" x14ac:dyDescent="0.25">
      <c r="E22" s="43"/>
      <c r="F22" s="43"/>
      <c r="G22" s="44"/>
      <c r="H22" s="43"/>
      <c r="I22" s="43"/>
      <c r="J22" s="43"/>
    </row>
    <row r="23" spans="2:10" ht="18.75" x14ac:dyDescent="0.3">
      <c r="B23" s="203" t="s">
        <v>0</v>
      </c>
      <c r="C23" s="203"/>
      <c r="D23" s="203"/>
      <c r="E23" s="109"/>
      <c r="F23" s="109"/>
      <c r="G23" s="109"/>
      <c r="H23" s="109"/>
      <c r="I23" s="109"/>
      <c r="J23" s="109"/>
    </row>
    <row r="24" spans="2:10" x14ac:dyDescent="0.25">
      <c r="B24" s="4" t="s">
        <v>19</v>
      </c>
      <c r="C24" s="4" t="s">
        <v>1</v>
      </c>
      <c r="D24" s="4" t="s">
        <v>2</v>
      </c>
      <c r="E24" s="43"/>
      <c r="F24" s="43"/>
      <c r="G24" s="43"/>
      <c r="H24" s="43"/>
      <c r="I24" s="43"/>
      <c r="J24" s="43"/>
    </row>
    <row r="25" spans="2:10" x14ac:dyDescent="0.25">
      <c r="B25" s="67">
        <v>0</v>
      </c>
      <c r="C25" s="12">
        <v>9</v>
      </c>
      <c r="D25" s="78">
        <v>42</v>
      </c>
      <c r="E25" s="43"/>
      <c r="F25" s="43"/>
      <c r="G25" s="43"/>
      <c r="H25" s="43"/>
      <c r="I25" s="43"/>
      <c r="J25" s="43"/>
    </row>
    <row r="26" spans="2:10" x14ac:dyDescent="0.25">
      <c r="B26" s="69">
        <v>601</v>
      </c>
      <c r="C26" s="13">
        <v>12</v>
      </c>
      <c r="D26" s="79">
        <v>57</v>
      </c>
      <c r="E26" s="43"/>
      <c r="F26" s="43"/>
      <c r="G26" s="43"/>
      <c r="H26" s="43"/>
      <c r="I26" s="43"/>
      <c r="J26" s="43"/>
    </row>
    <row r="27" spans="2:10" x14ac:dyDescent="0.25">
      <c r="B27" s="69">
        <v>1001</v>
      </c>
      <c r="C27" s="13">
        <v>13.5</v>
      </c>
      <c r="D27" s="79">
        <v>64</v>
      </c>
      <c r="E27" s="43"/>
      <c r="F27" s="43"/>
      <c r="G27" s="43"/>
      <c r="H27" s="43"/>
      <c r="I27" s="43"/>
      <c r="J27" s="43"/>
    </row>
    <row r="28" spans="2:10" x14ac:dyDescent="0.25">
      <c r="B28" s="73">
        <v>1300</v>
      </c>
      <c r="C28" s="14">
        <v>15</v>
      </c>
      <c r="D28" s="80">
        <v>71</v>
      </c>
      <c r="E28" s="43"/>
      <c r="F28" s="43"/>
      <c r="G28" s="43"/>
      <c r="H28" s="43"/>
      <c r="I28" s="43"/>
      <c r="J28" s="43"/>
    </row>
    <row r="29" spans="2:10" x14ac:dyDescent="0.25">
      <c r="B29" s="81">
        <f>B21</f>
        <v>1500</v>
      </c>
      <c r="C29" s="91">
        <f>IF(AND(Facture!$C$14="oui",C$24=Facture!$B$24),VLOOKUP($B29,$B$25:$D$28,COLUMN()-1,1),IF(Facture!$B$24=Paramètres!$B$46,VLOOKUP($B29,$B$25:$D$28,COLUMN()-1,1),""))</f>
        <v>15</v>
      </c>
      <c r="D29" s="156" t="str">
        <f>IF(AND(Facture!$C$14="oui",D$24=Facture!$B$52),VLOOKUP($B29,$B$25:$D$28,COLUMN()-1,1),IF(Facture!$B$52=Paramètres!$B$46,VLOOKUP($B29,$B$25:$D$28,COLUMN()-1,1),""))</f>
        <v/>
      </c>
      <c r="E29" s="43"/>
      <c r="F29" s="43"/>
      <c r="G29" s="43"/>
      <c r="H29" s="43"/>
      <c r="I29" s="43"/>
      <c r="J29" s="43"/>
    </row>
    <row r="30" spans="2:10" ht="18.75" x14ac:dyDescent="0.3">
      <c r="B30" s="204" t="s">
        <v>3</v>
      </c>
      <c r="C30" s="204"/>
      <c r="D30" s="204"/>
      <c r="E30" s="109"/>
      <c r="F30" s="109"/>
      <c r="G30" s="109"/>
      <c r="H30" s="109"/>
      <c r="I30" s="109"/>
      <c r="J30" s="109"/>
    </row>
    <row r="31" spans="2:10" x14ac:dyDescent="0.25">
      <c r="B31" s="4" t="s">
        <v>19</v>
      </c>
      <c r="C31" s="4" t="str">
        <f>C24</f>
        <v xml:space="preserve">Journée avec repas </v>
      </c>
      <c r="D31" s="4" t="str">
        <f t="shared" ref="D31" si="0">D24</f>
        <v>Forfait semaine avec repas</v>
      </c>
      <c r="E31" s="43"/>
      <c r="F31" s="43"/>
      <c r="G31" s="43"/>
      <c r="H31" s="43"/>
      <c r="I31" s="43"/>
      <c r="J31" s="43"/>
    </row>
    <row r="32" spans="2:10" x14ac:dyDescent="0.25">
      <c r="B32" s="67">
        <v>0</v>
      </c>
      <c r="C32" s="12">
        <v>9.5</v>
      </c>
      <c r="D32" s="78">
        <v>45</v>
      </c>
      <c r="E32" s="43"/>
      <c r="F32" s="43"/>
      <c r="G32" s="43"/>
      <c r="H32" s="43"/>
      <c r="I32" s="43"/>
      <c r="J32" s="43"/>
    </row>
    <row r="33" spans="2:10" x14ac:dyDescent="0.25">
      <c r="B33" s="69">
        <v>601</v>
      </c>
      <c r="C33" s="13">
        <v>18</v>
      </c>
      <c r="D33" s="79">
        <v>87</v>
      </c>
      <c r="E33" s="43"/>
      <c r="F33" s="43"/>
      <c r="G33" s="43"/>
      <c r="H33" s="43"/>
      <c r="I33" s="43"/>
      <c r="J33" s="43"/>
    </row>
    <row r="34" spans="2:10" x14ac:dyDescent="0.25">
      <c r="B34" s="69">
        <v>1001</v>
      </c>
      <c r="C34" s="13">
        <v>19.5</v>
      </c>
      <c r="D34" s="79">
        <v>94</v>
      </c>
      <c r="E34" s="43"/>
      <c r="F34" s="43"/>
      <c r="G34" s="43"/>
      <c r="H34" s="43"/>
      <c r="I34" s="43"/>
      <c r="J34" s="43"/>
    </row>
    <row r="35" spans="2:10" x14ac:dyDescent="0.25">
      <c r="B35" s="73">
        <v>1300</v>
      </c>
      <c r="C35" s="14">
        <v>21</v>
      </c>
      <c r="D35" s="80">
        <v>101</v>
      </c>
      <c r="E35" s="43"/>
      <c r="F35" s="43"/>
      <c r="G35" s="43"/>
      <c r="H35" s="43"/>
      <c r="I35" s="43"/>
      <c r="J35" s="43"/>
    </row>
    <row r="36" spans="2:10" x14ac:dyDescent="0.25">
      <c r="B36" s="81">
        <f>B29</f>
        <v>1500</v>
      </c>
      <c r="C36" s="91" t="str">
        <f>IF(AND(Facture!$C$14="non",C$31=Facture!$B$24),VLOOKUP($B36,$B$32:$D$35,COLUMN()-1,1),IF(Facture!$B$24=Paramètres!$B$46,VLOOKUP($B36,$B$32:$D$35,COLUMN()-1,1),""))</f>
        <v/>
      </c>
      <c r="D36" s="156" t="str">
        <f>IF(AND(Facture!$C$14="non",D$24=Facture!$B$52),VLOOKUP($B36,$B$25:$D$28,COLUMN()-1,1),IF(Facture!$B$52=Paramètres!$B$46,VLOOKUP($B36,$B$25:$D$28,COLUMN()-1,1),""))</f>
        <v/>
      </c>
      <c r="E36" s="43"/>
      <c r="F36" s="43"/>
      <c r="G36" s="43"/>
      <c r="H36" s="43"/>
      <c r="I36" s="43"/>
      <c r="J36" s="43"/>
    </row>
    <row r="37" spans="2:10" x14ac:dyDescent="0.25">
      <c r="B37" s="44"/>
      <c r="C37" s="86"/>
      <c r="D37" s="86"/>
      <c r="E37" s="86"/>
      <c r="F37" s="86"/>
      <c r="G37" s="86"/>
      <c r="H37" s="86"/>
      <c r="I37" s="86"/>
      <c r="J37" s="86"/>
    </row>
    <row r="38" spans="2:10" ht="18.75" x14ac:dyDescent="0.3">
      <c r="B38" s="203" t="s">
        <v>70</v>
      </c>
      <c r="C38" s="203"/>
      <c r="D38" s="203"/>
      <c r="E38" s="109"/>
      <c r="F38" s="109"/>
      <c r="G38" s="109"/>
      <c r="H38" s="109"/>
      <c r="I38" s="109"/>
      <c r="J38" s="109"/>
    </row>
    <row r="39" spans="2:10" x14ac:dyDescent="0.25">
      <c r="B39" s="4" t="s">
        <v>19</v>
      </c>
      <c r="C39" s="4" t="str">
        <f>C31</f>
        <v xml:space="preserve">Journée avec repas </v>
      </c>
      <c r="D39" s="4" t="str">
        <f t="shared" ref="D39" si="1">D31</f>
        <v>Forfait semaine avec repas</v>
      </c>
      <c r="E39" s="43"/>
      <c r="F39" s="43"/>
      <c r="G39" s="43"/>
      <c r="H39" s="43"/>
      <c r="I39" s="43"/>
      <c r="J39" s="43"/>
    </row>
    <row r="40" spans="2:10" x14ac:dyDescent="0.25">
      <c r="B40" s="82">
        <f>B21</f>
        <v>1500</v>
      </c>
      <c r="C40" s="92">
        <f>IF(Facture!$C$14="Oui",Paramètres!C29,Paramètres!C36)</f>
        <v>15</v>
      </c>
      <c r="D40" s="155" t="str">
        <f>IF(Facture!$C$14="Oui",Paramètres!D29,Paramètres!D36)</f>
        <v/>
      </c>
      <c r="E40" s="43"/>
      <c r="F40" s="43"/>
      <c r="G40" s="43"/>
      <c r="H40" s="43"/>
      <c r="I40" s="43"/>
      <c r="J40" s="43"/>
    </row>
    <row r="41" spans="2:10" x14ac:dyDescent="0.25">
      <c r="E41" s="43"/>
      <c r="F41" s="43"/>
      <c r="G41" s="44"/>
      <c r="H41" s="43"/>
      <c r="I41" s="43"/>
      <c r="J41" s="43"/>
    </row>
    <row r="42" spans="2:10" x14ac:dyDescent="0.25">
      <c r="E42" s="43"/>
      <c r="F42" s="43"/>
      <c r="G42" s="44"/>
      <c r="H42" s="43"/>
      <c r="I42" s="43"/>
      <c r="J42" s="43"/>
    </row>
    <row r="43" spans="2:10" x14ac:dyDescent="0.25">
      <c r="B43" s="90" t="s">
        <v>22</v>
      </c>
      <c r="C43" s="117"/>
      <c r="D43" s="117"/>
      <c r="E43" s="43"/>
      <c r="F43" s="43"/>
      <c r="G43" s="44"/>
      <c r="H43" s="43"/>
      <c r="I43" s="43"/>
      <c r="J43" s="43"/>
    </row>
    <row r="44" spans="2:10" x14ac:dyDescent="0.25">
      <c r="B44" s="1" t="s">
        <v>1</v>
      </c>
      <c r="C44" s="1"/>
      <c r="D44" s="1"/>
      <c r="E44" s="43"/>
      <c r="F44" s="43"/>
      <c r="G44" s="44"/>
      <c r="H44" s="43"/>
      <c r="I44" s="43"/>
      <c r="J44" s="43"/>
    </row>
    <row r="45" spans="2:10" x14ac:dyDescent="0.25">
      <c r="B45" s="1" t="s">
        <v>2</v>
      </c>
      <c r="C45" s="1"/>
      <c r="D45" s="1"/>
      <c r="E45" s="43"/>
      <c r="F45" s="43"/>
      <c r="G45" s="44"/>
      <c r="H45" s="43"/>
      <c r="I45" s="43"/>
      <c r="J45" s="43"/>
    </row>
    <row r="46" spans="2:10" x14ac:dyDescent="0.25">
      <c r="B46" s="1" t="s">
        <v>114</v>
      </c>
      <c r="C46" s="1"/>
      <c r="D46" s="1"/>
      <c r="E46" s="43"/>
      <c r="F46" s="43"/>
      <c r="G46" s="44"/>
      <c r="H46" s="43"/>
      <c r="I46" s="43"/>
      <c r="J46" s="43"/>
    </row>
    <row r="48" spans="2:10" x14ac:dyDescent="0.25">
      <c r="B48" s="116" t="s">
        <v>71</v>
      </c>
      <c r="C48" s="116" t="s">
        <v>75</v>
      </c>
      <c r="D48" s="116" t="s">
        <v>18</v>
      </c>
    </row>
    <row r="49" spans="2:4" x14ac:dyDescent="0.25">
      <c r="B49" s="65" t="s">
        <v>80</v>
      </c>
      <c r="C49" s="2" t="s">
        <v>72</v>
      </c>
      <c r="D49" s="146">
        <v>1.25</v>
      </c>
    </row>
    <row r="50" spans="2:4" x14ac:dyDescent="0.25">
      <c r="B50" s="65" t="s">
        <v>81</v>
      </c>
      <c r="C50" s="2" t="s">
        <v>73</v>
      </c>
      <c r="D50" s="146">
        <v>1.25</v>
      </c>
    </row>
    <row r="51" spans="2:4" x14ac:dyDescent="0.25">
      <c r="B51" s="65" t="s">
        <v>82</v>
      </c>
      <c r="C51" s="2" t="s">
        <v>74</v>
      </c>
      <c r="D51" s="146">
        <v>2.5</v>
      </c>
    </row>
  </sheetData>
  <mergeCells count="5">
    <mergeCell ref="B1:G1"/>
    <mergeCell ref="B12:G12"/>
    <mergeCell ref="B38:D38"/>
    <mergeCell ref="B23:D23"/>
    <mergeCell ref="B30:D30"/>
  </mergeCell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D1D983E1-678B-4891-90DF-3BACA1B87B4A}">
            <xm:f>AND(Facture!$C$14="oui",$B$10&gt;=0,$B$10&lt;601)</xm:f>
            <x14:dxf>
              <fill>
                <patternFill>
                  <bgColor theme="8" tint="0.79998168889431442"/>
                </patternFill>
              </fill>
            </x14:dxf>
          </x14:cfRule>
          <xm:sqref>B4:F4 B25:D25</xm:sqref>
        </x14:conditionalFormatting>
        <x14:conditionalFormatting xmlns:xm="http://schemas.microsoft.com/office/excel/2006/main">
          <x14:cfRule type="expression" priority="5" id="{006212C8-01C7-43AA-A743-4503D1997805}">
            <xm:f>AND(Facture!$C$14="oui",$B$10&gt;=601,$B$10&lt;1001)</xm:f>
            <x14:dxf>
              <fill>
                <patternFill>
                  <bgColor theme="8" tint="0.79998168889431442"/>
                </patternFill>
              </fill>
            </x14:dxf>
          </x14:cfRule>
          <xm:sqref>B5:F5 B26:D26</xm:sqref>
        </x14:conditionalFormatting>
        <x14:conditionalFormatting xmlns:xm="http://schemas.microsoft.com/office/excel/2006/main">
          <x14:cfRule type="expression" priority="6" id="{44039B8D-6E4D-4848-84C7-979FF74478F1}">
            <xm:f>AND(Facture!$C$14="oui",$B$10&gt;=1001,$B$10&lt;1300)</xm:f>
            <x14:dxf>
              <fill>
                <patternFill>
                  <bgColor theme="8" tint="0.79998168889431442"/>
                </patternFill>
              </fill>
            </x14:dxf>
          </x14:cfRule>
          <xm:sqref>B6:F6 B27:D27</xm:sqref>
        </x14:conditionalFormatting>
        <x14:conditionalFormatting xmlns:xm="http://schemas.microsoft.com/office/excel/2006/main">
          <x14:cfRule type="expression" priority="7" id="{F65231A2-775A-4690-A09F-59DAA86A1B41}">
            <xm:f>AND(Facture!$C$14="oui",$B$10&gt;=1300)</xm:f>
            <x14:dxf>
              <fill>
                <patternFill>
                  <bgColor theme="8" tint="0.79998168889431442"/>
                </patternFill>
              </fill>
            </x14:dxf>
          </x14:cfRule>
          <xm:sqref>B7:F7 B28:D28</xm:sqref>
        </x14:conditionalFormatting>
        <x14:conditionalFormatting xmlns:xm="http://schemas.microsoft.com/office/excel/2006/main">
          <x14:cfRule type="expression" priority="4" id="{4A49C853-19CE-4D72-B449-91363EC0F794}">
            <xm:f>AND(Facture!$C$14="non",$B$10&gt;=1300)</xm:f>
            <x14:dxf>
              <fill>
                <patternFill>
                  <bgColor theme="8" tint="0.79998168889431442"/>
                </patternFill>
              </fill>
            </x14:dxf>
          </x14:cfRule>
          <xm:sqref>B18:F18 B35:D35</xm:sqref>
        </x14:conditionalFormatting>
        <x14:conditionalFormatting xmlns:xm="http://schemas.microsoft.com/office/excel/2006/main">
          <x14:cfRule type="expression" priority="3" id="{C07E2B01-4149-4DD8-8CCD-B5BF05D184DB}">
            <xm:f>AND(Facture!$C$14="non",$B$10&gt;=1001,$B$10&lt;1300)</xm:f>
            <x14:dxf>
              <fill>
                <patternFill>
                  <bgColor theme="8" tint="0.79998168889431442"/>
                </patternFill>
              </fill>
            </x14:dxf>
          </x14:cfRule>
          <xm:sqref>B17:F17 B34:D34</xm:sqref>
        </x14:conditionalFormatting>
        <x14:conditionalFormatting xmlns:xm="http://schemas.microsoft.com/office/excel/2006/main">
          <x14:cfRule type="expression" priority="2" id="{B0681D56-95D0-4863-A1F3-A4E6037EC7F2}">
            <xm:f>AND(Facture!$C$14="non",$B$10&gt;=601,$B$10&lt;1001)</xm:f>
            <x14:dxf>
              <fill>
                <patternFill>
                  <bgColor theme="8" tint="0.79998168889431442"/>
                </patternFill>
              </fill>
            </x14:dxf>
          </x14:cfRule>
          <xm:sqref>B16:F16 B33:D33</xm:sqref>
        </x14:conditionalFormatting>
        <x14:conditionalFormatting xmlns:xm="http://schemas.microsoft.com/office/excel/2006/main">
          <x14:cfRule type="expression" priority="1" id="{1987F7EE-353C-41A1-A302-3345A940D2BA}">
            <xm:f>AND(Facture!$C$14="non",$B$10&gt;=0,$B$10&lt;601)</xm:f>
            <x14:dxf>
              <fill>
                <patternFill>
                  <bgColor theme="8" tint="0.79998168889431442"/>
                </patternFill>
              </fill>
            </x14:dxf>
          </x14:cfRule>
          <xm:sqref>B15:F15 B32:D32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Liste adhérents</vt:lpstr>
      <vt:lpstr>Planning</vt:lpstr>
      <vt:lpstr>Facture</vt:lpstr>
      <vt:lpstr>Récap facture</vt:lpstr>
      <vt:lpstr>Réédition facture</vt:lpstr>
      <vt:lpstr>Paramètres</vt:lpstr>
      <vt:lpstr>L_Garderie</vt:lpstr>
      <vt:lpstr>L_Nom</vt:lpstr>
      <vt:lpstr>L_periode</vt:lpstr>
      <vt:lpstr>L_Prestations</vt:lpstr>
      <vt:lpstr>Péricentre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Marie-Line</dc:creator>
  <cp:lastModifiedBy>Zébulon</cp:lastModifiedBy>
  <cp:lastPrinted>2019-08-16T06:55:48Z</cp:lastPrinted>
  <dcterms:created xsi:type="dcterms:W3CDTF">2019-04-19T12:12:37Z</dcterms:created>
  <dcterms:modified xsi:type="dcterms:W3CDTF">2019-09-22T23:53:02Z</dcterms:modified>
</cp:coreProperties>
</file>