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llas\OneDrive - Huttopia\PowerApps\"/>
    </mc:Choice>
  </mc:AlternateContent>
  <xr:revisionPtr revIDLastSave="0" documentId="13_ncr:1_{9375C4F0-B35A-4BC9-9DB2-715EA9009671}" xr6:coauthVersionLast="47" xr6:coauthVersionMax="47" xr10:uidLastSave="{00000000-0000-0000-0000-000000000000}"/>
  <bookViews>
    <workbookView xWindow="-23148" yWindow="-108" windowWidth="23256" windowHeight="12720" xr2:uid="{1300E266-FBB2-4636-BEFA-1261A7656DBC}"/>
  </bookViews>
  <sheets>
    <sheet name="hebergement 1" sheetId="1" r:id="rId1"/>
    <sheet name="page de garde" sheetId="3" r:id="rId2"/>
    <sheet name="traduction" sheetId="4" r:id="rId3"/>
    <sheet name="hebergement 2" sheetId="2" r:id="rId4"/>
  </sheets>
  <externalReferences>
    <externalReference r:id="rId5"/>
  </externalReferences>
  <definedNames>
    <definedName name="ChoixLangue">'page de garde'!$C$4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1" l="1"/>
  <c r="E18" i="1"/>
  <c r="G124" i="2"/>
  <c r="K102" i="2"/>
  <c r="K101" i="2"/>
  <c r="K100" i="2"/>
  <c r="H98" i="2"/>
  <c r="H97" i="2"/>
  <c r="H96" i="2"/>
  <c r="K96" i="2" s="1"/>
  <c r="H94" i="2"/>
  <c r="K94" i="2" s="1"/>
  <c r="K92" i="2"/>
  <c r="H92" i="2"/>
  <c r="K91" i="2"/>
  <c r="H91" i="2"/>
  <c r="H90" i="2"/>
  <c r="K90" i="2" s="1"/>
  <c r="H89" i="2"/>
  <c r="K89" i="2" s="1"/>
  <c r="K88" i="2"/>
  <c r="H88" i="2"/>
  <c r="K87" i="2"/>
  <c r="H87" i="2"/>
  <c r="H86" i="2"/>
  <c r="K86" i="2" s="1"/>
  <c r="H86" i="2" a="1"/>
  <c r="H85" i="2"/>
  <c r="K85" i="2" s="1"/>
  <c r="H84" i="2"/>
  <c r="K84" i="2" s="1"/>
  <c r="K83" i="2"/>
  <c r="H83" i="2"/>
  <c r="J78" i="2"/>
  <c r="J80" i="2" s="1"/>
  <c r="K77" i="2"/>
  <c r="J77" i="2"/>
  <c r="H77" i="2"/>
  <c r="E77" i="2"/>
  <c r="J76" i="2"/>
  <c r="K76" i="2" s="1"/>
  <c r="H76" i="2"/>
  <c r="K75" i="2"/>
  <c r="J75" i="2"/>
  <c r="H75" i="2"/>
  <c r="K74" i="2"/>
  <c r="J74" i="2"/>
  <c r="H74" i="2"/>
  <c r="K73" i="2"/>
  <c r="J73" i="2"/>
  <c r="H73" i="2"/>
  <c r="K72" i="2"/>
  <c r="J72" i="2"/>
  <c r="H72" i="2"/>
  <c r="K70" i="2"/>
  <c r="J70" i="2"/>
  <c r="H70" i="2"/>
  <c r="J69" i="2"/>
  <c r="K69" i="2" s="1"/>
  <c r="H69" i="2"/>
  <c r="J68" i="2"/>
  <c r="K68" i="2" s="1"/>
  <c r="H68" i="2"/>
  <c r="J67" i="2"/>
  <c r="K67" i="2" s="1"/>
  <c r="J66" i="2"/>
  <c r="K66" i="2" s="1"/>
  <c r="H66" i="2"/>
  <c r="J65" i="2"/>
  <c r="K65" i="2" s="1"/>
  <c r="H65" i="2"/>
  <c r="J63" i="2"/>
  <c r="K63" i="2" s="1"/>
  <c r="H63" i="2"/>
  <c r="K62" i="2"/>
  <c r="J62" i="2"/>
  <c r="H62" i="2"/>
  <c r="K61" i="2"/>
  <c r="J61" i="2"/>
  <c r="H61" i="2"/>
  <c r="K60" i="2"/>
  <c r="J60" i="2"/>
  <c r="H60" i="2"/>
  <c r="K59" i="2"/>
  <c r="J59" i="2"/>
  <c r="H59" i="2"/>
  <c r="K58" i="2"/>
  <c r="J58" i="2"/>
  <c r="H58" i="2"/>
  <c r="J57" i="2"/>
  <c r="K56" i="2"/>
  <c r="J56" i="2"/>
  <c r="H56" i="2"/>
  <c r="K54" i="2"/>
  <c r="J54" i="2"/>
  <c r="H54" i="2"/>
  <c r="K53" i="2"/>
  <c r="J53" i="2"/>
  <c r="H53" i="2"/>
  <c r="K52" i="2"/>
  <c r="J52" i="2"/>
  <c r="H52" i="2"/>
  <c r="K51" i="2"/>
  <c r="J51" i="2"/>
  <c r="H51" i="2"/>
  <c r="J50" i="2"/>
  <c r="K50" i="2" s="1"/>
  <c r="H50" i="2"/>
  <c r="J49" i="2"/>
  <c r="K49" i="2" s="1"/>
  <c r="H49" i="2"/>
  <c r="J48" i="2"/>
  <c r="K48" i="2" s="1"/>
  <c r="H48" i="2"/>
  <c r="K46" i="2"/>
  <c r="J46" i="2"/>
  <c r="H46" i="2"/>
  <c r="K45" i="2"/>
  <c r="J45" i="2"/>
  <c r="H45" i="2"/>
  <c r="G45" i="2"/>
  <c r="J44" i="2"/>
  <c r="K44" i="2" s="1"/>
  <c r="H44" i="2"/>
  <c r="J43" i="2"/>
  <c r="K43" i="2" s="1"/>
  <c r="H43" i="2"/>
  <c r="J42" i="2"/>
  <c r="K42" i="2" s="1"/>
  <c r="H42" i="2"/>
  <c r="K41" i="2"/>
  <c r="J41" i="2"/>
  <c r="H41" i="2"/>
  <c r="K39" i="2"/>
  <c r="J39" i="2"/>
  <c r="H39" i="2"/>
  <c r="K38" i="2"/>
  <c r="J38" i="2"/>
  <c r="H38" i="2"/>
  <c r="E37" i="2"/>
  <c r="E36" i="2"/>
  <c r="E35" i="2"/>
  <c r="K34" i="2"/>
  <c r="J34" i="2"/>
  <c r="H34" i="2"/>
  <c r="J33" i="2"/>
  <c r="K33" i="2" s="1"/>
  <c r="H33" i="2"/>
  <c r="J32" i="2"/>
  <c r="K32" i="2" s="1"/>
  <c r="H32" i="2"/>
  <c r="F32" i="2"/>
  <c r="K31" i="2"/>
  <c r="J31" i="2"/>
  <c r="H31" i="2"/>
  <c r="K30" i="2"/>
  <c r="J30" i="2"/>
  <c r="H30" i="2"/>
  <c r="B30" i="2"/>
  <c r="J28" i="2"/>
  <c r="K27" i="2"/>
  <c r="J27" i="2"/>
  <c r="H27" i="2"/>
  <c r="J26" i="2"/>
  <c r="F26" i="2"/>
  <c r="K24" i="2"/>
  <c r="J24" i="2"/>
  <c r="H24" i="2"/>
  <c r="K23" i="2"/>
  <c r="J23" i="2"/>
  <c r="H23" i="2"/>
  <c r="B23" i="2"/>
  <c r="J22" i="2"/>
  <c r="K22" i="2" s="1"/>
  <c r="H22" i="2"/>
  <c r="J21" i="2"/>
  <c r="K21" i="2" s="1"/>
  <c r="H21" i="2"/>
  <c r="J20" i="2"/>
  <c r="J79" i="2" s="1"/>
  <c r="K14" i="2"/>
  <c r="K78" i="2" s="1"/>
  <c r="A10" i="2"/>
  <c r="J8" i="2"/>
  <c r="H8" i="2"/>
  <c r="D8" i="2"/>
  <c r="J7" i="2"/>
  <c r="G7" i="2"/>
  <c r="D7" i="2"/>
  <c r="G6" i="2"/>
  <c r="D6" i="2"/>
  <c r="D4" i="2"/>
  <c r="H3" i="2"/>
  <c r="D3" i="2"/>
  <c r="I2" i="2"/>
  <c r="H2" i="2"/>
  <c r="D2" i="2"/>
  <c r="K113" i="1"/>
  <c r="K112" i="1"/>
  <c r="K111" i="1"/>
  <c r="H107" i="1"/>
  <c r="K107" i="1" s="1"/>
  <c r="H105" i="1"/>
  <c r="K105" i="1" s="1"/>
  <c r="K103" i="1"/>
  <c r="H103" i="1"/>
  <c r="H102" i="1"/>
  <c r="K102" i="1" s="1"/>
  <c r="H100" i="1"/>
  <c r="K100" i="1" s="1"/>
  <c r="K99" i="1"/>
  <c r="H99" i="1"/>
  <c r="H98" i="1"/>
  <c r="K98" i="1" s="1"/>
  <c r="H97" i="1"/>
  <c r="K97" i="1" s="1"/>
  <c r="H97" i="1" a="1"/>
  <c r="K96" i="1"/>
  <c r="H96" i="1"/>
  <c r="H94" i="1"/>
  <c r="H95" i="1" s="1"/>
  <c r="K95" i="1" s="1"/>
  <c r="J88" i="1"/>
  <c r="K88" i="1" s="1"/>
  <c r="E88" i="1"/>
  <c r="J87" i="1"/>
  <c r="K87" i="1" s="1"/>
  <c r="K86" i="1"/>
  <c r="J86" i="1"/>
  <c r="H86" i="1"/>
  <c r="J85" i="1"/>
  <c r="K85" i="1" s="1"/>
  <c r="H85" i="1"/>
  <c r="J84" i="1"/>
  <c r="K84" i="1" s="1"/>
  <c r="H84" i="1"/>
  <c r="J83" i="1"/>
  <c r="K83" i="1" s="1"/>
  <c r="H83" i="1"/>
  <c r="J81" i="1"/>
  <c r="K81" i="1" s="1"/>
  <c r="H81" i="1"/>
  <c r="K80" i="1"/>
  <c r="J80" i="1"/>
  <c r="H80" i="1"/>
  <c r="J79" i="1"/>
  <c r="K79" i="1" s="1"/>
  <c r="H79" i="1"/>
  <c r="K78" i="1"/>
  <c r="J78" i="1"/>
  <c r="H78" i="1"/>
  <c r="K77" i="1"/>
  <c r="J77" i="1"/>
  <c r="H77" i="1"/>
  <c r="J76" i="1"/>
  <c r="K76" i="1" s="1"/>
  <c r="H76" i="1"/>
  <c r="J75" i="1"/>
  <c r="K75" i="1" s="1"/>
  <c r="K74" i="1"/>
  <c r="J74" i="1"/>
  <c r="H74" i="1"/>
  <c r="J73" i="1"/>
  <c r="K73" i="1" s="1"/>
  <c r="H73" i="1"/>
  <c r="J71" i="1"/>
  <c r="K71" i="1" s="1"/>
  <c r="K70" i="1"/>
  <c r="J70" i="1"/>
  <c r="J69" i="1"/>
  <c r="K69" i="1" s="1"/>
  <c r="J68" i="1"/>
  <c r="K68" i="1" s="1"/>
  <c r="J67" i="1"/>
  <c r="K67" i="1" s="1"/>
  <c r="K66" i="1"/>
  <c r="J66" i="1"/>
  <c r="J65" i="1"/>
  <c r="K65" i="1" s="1"/>
  <c r="J64" i="1"/>
  <c r="K64" i="1" s="1"/>
  <c r="H64" i="1"/>
  <c r="K63" i="1"/>
  <c r="J63" i="1"/>
  <c r="H63" i="1"/>
  <c r="J62" i="1"/>
  <c r="J61" i="1"/>
  <c r="K61" i="1" s="1"/>
  <c r="H61" i="1"/>
  <c r="J59" i="1"/>
  <c r="K59" i="1" s="1"/>
  <c r="H59" i="1"/>
  <c r="J58" i="1"/>
  <c r="K58" i="1" s="1"/>
  <c r="H58" i="1"/>
  <c r="J57" i="1"/>
  <c r="K57" i="1" s="1"/>
  <c r="H57" i="1"/>
  <c r="K56" i="1"/>
  <c r="J56" i="1"/>
  <c r="J55" i="1"/>
  <c r="K55" i="1" s="1"/>
  <c r="H55" i="1"/>
  <c r="K54" i="1"/>
  <c r="J54" i="1"/>
  <c r="H54" i="1"/>
  <c r="K53" i="1"/>
  <c r="J53" i="1"/>
  <c r="H53" i="1"/>
  <c r="H56" i="1" s="1"/>
  <c r="J51" i="1"/>
  <c r="K51" i="1" s="1"/>
  <c r="H51" i="1"/>
  <c r="J50" i="1"/>
  <c r="K50" i="1" s="1"/>
  <c r="H50" i="1"/>
  <c r="J49" i="1"/>
  <c r="K49" i="1" s="1"/>
  <c r="H49" i="1"/>
  <c r="G49" i="1"/>
  <c r="K48" i="1"/>
  <c r="J48" i="1"/>
  <c r="H48" i="1"/>
  <c r="K47" i="1"/>
  <c r="J47" i="1"/>
  <c r="H47" i="1"/>
  <c r="J46" i="1"/>
  <c r="K46" i="1" s="1"/>
  <c r="H46" i="1"/>
  <c r="J45" i="1"/>
  <c r="K45" i="1" s="1"/>
  <c r="H45" i="1"/>
  <c r="J43" i="1"/>
  <c r="K43" i="1" s="1"/>
  <c r="H43" i="1"/>
  <c r="J42" i="1"/>
  <c r="K42" i="1" s="1"/>
  <c r="E41" i="1"/>
  <c r="E40" i="1"/>
  <c r="E39" i="1"/>
  <c r="J38" i="1"/>
  <c r="K38" i="1" s="1"/>
  <c r="H38" i="1"/>
  <c r="K37" i="1"/>
  <c r="J37" i="1"/>
  <c r="H37" i="1"/>
  <c r="K36" i="1"/>
  <c r="J36" i="1"/>
  <c r="H36" i="1"/>
  <c r="F36" i="1"/>
  <c r="J35" i="1"/>
  <c r="K35" i="1" s="1"/>
  <c r="H35" i="1"/>
  <c r="K34" i="1"/>
  <c r="J34" i="1"/>
  <c r="H34" i="1"/>
  <c r="B34" i="1"/>
  <c r="J33" i="1"/>
  <c r="K33" i="1" s="1"/>
  <c r="H33" i="1"/>
  <c r="J32" i="1"/>
  <c r="K32" i="1" s="1"/>
  <c r="H32" i="1"/>
  <c r="J31" i="1"/>
  <c r="K31" i="1" s="1"/>
  <c r="H31" i="1"/>
  <c r="J29" i="1"/>
  <c r="K29" i="1" s="1"/>
  <c r="H29" i="1"/>
  <c r="J28" i="1"/>
  <c r="K27" i="1"/>
  <c r="J27" i="1"/>
  <c r="H27" i="1"/>
  <c r="J26" i="1"/>
  <c r="F26" i="1"/>
  <c r="K24" i="1"/>
  <c r="J24" i="1"/>
  <c r="H24" i="1"/>
  <c r="K23" i="1"/>
  <c r="J23" i="1"/>
  <c r="B23" i="1"/>
  <c r="J22" i="1"/>
  <c r="K22" i="1" s="1"/>
  <c r="H22" i="1"/>
  <c r="H23" i="1" s="1"/>
  <c r="K21" i="1"/>
  <c r="J21" i="1"/>
  <c r="H21" i="1"/>
  <c r="J20" i="1"/>
  <c r="J89" i="1"/>
  <c r="A10" i="1"/>
  <c r="J8" i="1"/>
  <c r="H8" i="1"/>
  <c r="D8" i="1"/>
  <c r="J7" i="1"/>
  <c r="G7" i="1"/>
  <c r="D7" i="1"/>
  <c r="G6" i="1"/>
  <c r="D6" i="1"/>
  <c r="D4" i="1"/>
  <c r="H3" i="1"/>
  <c r="D3" i="1"/>
  <c r="I2" i="1"/>
  <c r="H2" i="1"/>
  <c r="D2" i="1"/>
  <c r="K103" i="2" l="1"/>
  <c r="K79" i="2"/>
  <c r="K80" i="2" s="1"/>
  <c r="K90" i="1"/>
  <c r="J90" i="1"/>
  <c r="J91" i="1" s="1"/>
  <c r="H101" i="1"/>
  <c r="K101" i="1" s="1"/>
  <c r="K94" i="1"/>
  <c r="K114" i="1" s="1"/>
  <c r="K89" i="1"/>
  <c r="K9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<sst xmlns="http://schemas.openxmlformats.org/spreadsheetml/2006/main" count="1173" uniqueCount="707">
  <si>
    <t>Français</t>
  </si>
  <si>
    <t>Interlocuteur</t>
  </si>
  <si>
    <t>"</t>
  </si>
  <si>
    <t>Groupe / Chaîne</t>
  </si>
  <si>
    <t>client</t>
  </si>
  <si>
    <t>(</t>
  </si>
  <si>
    <t>@</t>
  </si>
  <si>
    <t xml:space="preserve"> Client donneur d'ordre</t>
  </si>
  <si>
    <t>*</t>
  </si>
  <si>
    <t>CP</t>
  </si>
  <si>
    <t>PAYS</t>
  </si>
  <si>
    <t>VILLE</t>
  </si>
  <si>
    <t>Hébergement</t>
  </si>
  <si>
    <t>Tarif HT unitaire Options</t>
  </si>
  <si>
    <t>si choix : "x"</t>
  </si>
  <si>
    <t>prix unitaire</t>
  </si>
  <si>
    <t>Prix total</t>
  </si>
  <si>
    <t>Quantité</t>
  </si>
  <si>
    <t>Hébergement de base comprenant les équipements de série détaillés en 3ème page</t>
  </si>
  <si>
    <t>Inclus</t>
  </si>
  <si>
    <t>Options d'intégration paysagère (extérieur chalet)</t>
  </si>
  <si>
    <t>Toiture</t>
  </si>
  <si>
    <t>Bac nervuré Beluga</t>
  </si>
  <si>
    <t xml:space="preserve">Plafond intérieur &amp; débords toit </t>
  </si>
  <si>
    <t>choix coloris</t>
  </si>
  <si>
    <t>Marron</t>
  </si>
  <si>
    <t xml:space="preserve">Huisseries aluminium </t>
  </si>
  <si>
    <t>Beluga</t>
  </si>
  <si>
    <t>Bardage</t>
  </si>
  <si>
    <t xml:space="preserve">       Bardage Acier lisse country oblique</t>
  </si>
  <si>
    <t>inclus</t>
  </si>
  <si>
    <t>x</t>
  </si>
  <si>
    <t xml:space="preserve">       Bardage Acier effet bois</t>
  </si>
  <si>
    <t xml:space="preserve">       Bardage Bois autoclave brun Classe 3</t>
  </si>
  <si>
    <t>Ajouré horizontal</t>
  </si>
  <si>
    <t>Ajouré vertical</t>
  </si>
  <si>
    <t>Agricole vertical</t>
  </si>
  <si>
    <t>Choix de l'ambiance intérieure</t>
  </si>
  <si>
    <t>Ambiance Zen : bois mélaminé couleur blanc et chêne clair</t>
  </si>
  <si>
    <t xml:space="preserve">Ambiance Nature : Bois naturel Epicea </t>
  </si>
  <si>
    <t>Coloris chaises</t>
  </si>
  <si>
    <t>Choix rideaux</t>
  </si>
  <si>
    <t xml:space="preserve">Rideaux séjour doublés avec occultant  </t>
  </si>
  <si>
    <t>Options d'aménagement extérieur</t>
  </si>
  <si>
    <t>Persiennes pour ombrage pergola à la place du canisse</t>
  </si>
  <si>
    <t>Couverture de pergola cristal avec acrotère bois + chéneau</t>
  </si>
  <si>
    <t>Descente de gouttières de la Pergola</t>
  </si>
  <si>
    <t>Claustra ganivelle (remplacement de celui de série en lames horizontales)</t>
  </si>
  <si>
    <t>1 Claustra supplémentaire</t>
  </si>
  <si>
    <r>
      <t>Rangée soubassement supp</t>
    </r>
    <r>
      <rPr>
        <sz val="8"/>
        <color theme="1"/>
        <rFont val="Calibri"/>
        <family val="2"/>
        <scheme val="minor"/>
      </rPr>
      <t>.(3 de série)</t>
    </r>
  </si>
  <si>
    <t>Option intégration végétale - par facade</t>
  </si>
  <si>
    <t>Nb de façade</t>
  </si>
  <si>
    <t xml:space="preserve">Précisez la ou les façades concerné(es) en considérant que le chalet se trouve face à vous en précisant "O" pour oui </t>
  </si>
  <si>
    <t>Latérale gauche</t>
  </si>
  <si>
    <t>Latérale droite</t>
  </si>
  <si>
    <t>Arrière</t>
  </si>
  <si>
    <t>Banquette coffre rangement terrasse bois  avec coussin d'assise</t>
  </si>
  <si>
    <t>Qté</t>
  </si>
  <si>
    <t>Table - utilisable pour angle banquette ou table basse terrasse</t>
  </si>
  <si>
    <t>Options d'isolation renforcée pour usage 4 saisons</t>
  </si>
  <si>
    <t>Isolation sol renforcée avec un isolant PU de 60 mm (coeff R= 2,6)</t>
  </si>
  <si>
    <t>Isolation toit renforcée avec un isolant PU de 80 mm (coeff R= 3,5)</t>
  </si>
  <si>
    <t>Isolation murs renforcé avec un isolant fin alvéolaire (coef R = 2,6)</t>
  </si>
  <si>
    <t xml:space="preserve">Extracteur d'air à detecteur et sonde d'humidité pour exploitation 4 saisons </t>
  </si>
  <si>
    <t>Sol hydro-résistant pour zones humides et inondables</t>
  </si>
  <si>
    <t>Kit traceur pour exploitation 4 saisons</t>
  </si>
  <si>
    <t>Baie vitrée intégrée dimensions  2m40 , 2 vantaux</t>
  </si>
  <si>
    <t>Options de chauffage</t>
  </si>
  <si>
    <t>Convecteur électrique 500W Chambres</t>
  </si>
  <si>
    <t>Radiateur intelligent smart eco control - séjour 1000 W</t>
  </si>
  <si>
    <t>Radiateur intelligent smart eco control - chambre 500 W</t>
  </si>
  <si>
    <t>Arrivée électrique en attente pour radiateur chambres</t>
  </si>
  <si>
    <t>Pré-équipement électrique climatisation</t>
  </si>
  <si>
    <t>Sèche serviette de la salle de bain</t>
  </si>
  <si>
    <t>Suppression du radiateur du salon</t>
  </si>
  <si>
    <t>Options Fluides (Eau, gaz, électricité)</t>
  </si>
  <si>
    <t>Delesteur 3 voies</t>
  </si>
  <si>
    <t xml:space="preserve">Plaque de cuisson 2 feux gaz </t>
  </si>
  <si>
    <t xml:space="preserve">Plaque de cuisson 4 feux gaz </t>
  </si>
  <si>
    <t>Plaque de cuisson induction</t>
  </si>
  <si>
    <t>Micro-ondes grill</t>
  </si>
  <si>
    <t>Fourniture d'un chauffeau-gaz ventouse à la place de l'électrique : Pose non comprise</t>
  </si>
  <si>
    <t>Coffre extérieur chauffeau électrique non préconisé</t>
  </si>
  <si>
    <t>Réducteur de pression à l'arrivée d'eau du chalet (pour pression &gt; à 5 bars)</t>
  </si>
  <si>
    <t>Fourniture et branchement d'un lave vaisselle intégré 12 couverts</t>
  </si>
  <si>
    <t>Préparation raccordement Lave linge à la place du lave vaisselle</t>
  </si>
  <si>
    <t>Raccordement arrivée d'eau et évacuation eaux grises et noires</t>
  </si>
  <si>
    <t xml:space="preserve">Mitigeurs HANSGROHE vasque salle de bain et évier cuisine </t>
  </si>
  <si>
    <t>WC suspendus</t>
  </si>
  <si>
    <t>Matelas literie grand luxe</t>
  </si>
  <si>
    <t>indispo</t>
  </si>
  <si>
    <t>Suppression de l'ensemble des lits sur pied du chalet (sommier + matelas)</t>
  </si>
  <si>
    <t>Lit jazz - 3 couchages  (2+1)</t>
  </si>
  <si>
    <t>Chaises fermob séjour</t>
  </si>
  <si>
    <t xml:space="preserve">Choix </t>
  </si>
  <si>
    <t>Banquette convertible séjour</t>
  </si>
  <si>
    <t xml:space="preserve">Volets roulants blancs sur fenêtre chambre </t>
  </si>
  <si>
    <t>Moustiquaires sur fenêtres chambres</t>
  </si>
  <si>
    <t>Options d'exploitation</t>
  </si>
  <si>
    <t xml:space="preserve">Kit inventaire </t>
  </si>
  <si>
    <t>Choix</t>
  </si>
  <si>
    <t>Kit literie couette</t>
  </si>
  <si>
    <t>Kit literie polaire</t>
  </si>
  <si>
    <t>Kit inventaire  Groupes &amp; chaînes</t>
  </si>
  <si>
    <t xml:space="preserve">Contact à clé sur circuit d'éclairage + 1 barillet clé pass hébergement + 3 clés chalet </t>
  </si>
  <si>
    <t xml:space="preserve">Barillet clé pass </t>
  </si>
  <si>
    <t xml:space="preserve">SOUS-TOTAL OPTIONS </t>
  </si>
  <si>
    <t>TOTAL HT CHALET AVEC LES OPTIONS RETENUES</t>
  </si>
  <si>
    <t xml:space="preserve">Service : fourniture et mise en place des supports pour remplacer les longrines béton </t>
  </si>
  <si>
    <t>Prix Unitaire</t>
  </si>
  <si>
    <t>Total</t>
  </si>
  <si>
    <t>Chassis poutre treillis douglas terre</t>
  </si>
  <si>
    <t xml:space="preserve">Chassis poutre douglas mer </t>
  </si>
  <si>
    <t xml:space="preserve">Chassis métal roues </t>
  </si>
  <si>
    <t xml:space="preserve">Barrière  70 cm de haut </t>
  </si>
  <si>
    <t>Garde-corps bois &amp; filet 1m de haut (obligatoire à partir de 80cm) + escalier 6 marches</t>
  </si>
  <si>
    <t>Terrasse en porte-à-faux-encorbellement avec chassis spécifique -Garde-corps non inclus</t>
  </si>
  <si>
    <t>Pilotis chalet et terrasse (hauteur maximum 1m50) - Garde-corps non iclus</t>
  </si>
  <si>
    <t>Pilotis chalet grande taille (de 1m50 à 3m) : au-delà chiffrage BE - Garde-corps non inclus</t>
  </si>
  <si>
    <t xml:space="preserve">Coursive accès arrière+garde-corps complet </t>
  </si>
  <si>
    <t>Double escalier 3 marches avec contremarche (largeur totale 3 mètres)</t>
  </si>
  <si>
    <t xml:space="preserve">Vis de fondation pour pilotis </t>
  </si>
  <si>
    <t>Non dispo</t>
  </si>
  <si>
    <r>
      <t xml:space="preserve">Dalles de support chassis </t>
    </r>
    <r>
      <rPr>
        <sz val="10"/>
        <color theme="1"/>
        <rFont val="Calibri"/>
        <family val="2"/>
        <scheme val="minor"/>
      </rPr>
      <t>(Prix unitaire correspond au prix des dalles pour un chalet complet)</t>
    </r>
  </si>
  <si>
    <t>Autres services</t>
  </si>
  <si>
    <t>Clé pass exploitation</t>
  </si>
  <si>
    <t>Module cabane de jardin bardage bois autoclave brun</t>
  </si>
  <si>
    <t>Module extension plancher bois autoclave brun 2m00 x 2m00 livré et installé</t>
  </si>
  <si>
    <t xml:space="preserve">Ajustements </t>
  </si>
  <si>
    <t>SOUS-TOTAL OPTIONS DE SERVICES, EQUIPEMENTS D'EXPLOITATION ET AUTRES CHIFFRAGES</t>
  </si>
  <si>
    <t>TOTAL HT AVEC TOUTES LES OPTIONS ET SERVICES</t>
  </si>
  <si>
    <t>TOTAL HT PAR CHALET</t>
  </si>
  <si>
    <t>Bon pour accord en date du</t>
  </si>
  <si>
    <t xml:space="preserve">  /        /                 </t>
  </si>
  <si>
    <t>Cachet du Client</t>
  </si>
  <si>
    <t>Signature</t>
  </si>
  <si>
    <t>EQUIPEMENTS DE SERIE</t>
  </si>
  <si>
    <t>Général</t>
  </si>
  <si>
    <t xml:space="preserve">Surface habitable </t>
  </si>
  <si>
    <t>25m²</t>
  </si>
  <si>
    <t>Nombre de SDB</t>
  </si>
  <si>
    <t>Surface terrasse</t>
  </si>
  <si>
    <t>12m²</t>
  </si>
  <si>
    <t xml:space="preserve">Nombre de WC </t>
  </si>
  <si>
    <t>1 indépendant</t>
  </si>
  <si>
    <t xml:space="preserve">Nombre de chambre </t>
  </si>
  <si>
    <t>Puissance élec mini hors options</t>
  </si>
  <si>
    <t>5 kw</t>
  </si>
  <si>
    <t>Nombre de couchage</t>
  </si>
  <si>
    <t>Montage sur site Client</t>
  </si>
  <si>
    <t>oui</t>
  </si>
  <si>
    <t>Eléments structurels</t>
  </si>
  <si>
    <t>Type de toiture : 1 pente (5 %) ou 2 pentes (27%) - 2 pentes avec chéneaux de série sur chalet</t>
  </si>
  <si>
    <t xml:space="preserve">Panneaux sandwichs Acier/PU polyurethane expansé 40mm </t>
  </si>
  <si>
    <t xml:space="preserve">Revêtement toiture tôles bac acier (40-250-1000) / Revêtement toiture tôles effet tuilée  </t>
  </si>
  <si>
    <t>Huisserie aluminium</t>
  </si>
  <si>
    <t>Fenêtres coulissantes 99 x100cm</t>
  </si>
  <si>
    <t>Vasistas projettants opaques dans SDB et WC 40x40cm</t>
  </si>
  <si>
    <t xml:space="preserve">Baie vitrée coulissante en applique 2,43m </t>
  </si>
  <si>
    <t>Murs</t>
  </si>
  <si>
    <t>Panneaux sandwichs 40mm acier/PU - extérieur acier lisse Country oblique 1 couleur / 3 choix</t>
  </si>
  <si>
    <t>Structure</t>
  </si>
  <si>
    <t>En bois autoclave brun</t>
  </si>
  <si>
    <t>Sol</t>
  </si>
  <si>
    <t>Plancher OSB 19mm CL III (sauf si option Isolation sol)</t>
  </si>
  <si>
    <t xml:space="preserve">3 bandeaux de soubassement en autoclave brun </t>
  </si>
  <si>
    <t>Adaptation au sol &amp; accès chalet</t>
  </si>
  <si>
    <t>Support</t>
  </si>
  <si>
    <t>Pose sur longrines (fourniture et mise en œuvre  à la charge du client selon prescriptions Hekipia )</t>
  </si>
  <si>
    <t>Accès chalet</t>
  </si>
  <si>
    <t>Escalier triple marche d'accès à la terrasse  (largeur 1,5m)</t>
  </si>
  <si>
    <t>Terrasse</t>
  </si>
  <si>
    <t>Planches terrasse</t>
  </si>
  <si>
    <t>Planches de terrasse anti-dérapantes  CL3 Brun</t>
  </si>
  <si>
    <t>Couverture terrasse</t>
  </si>
  <si>
    <t>Pergola ombragée canisse (Moréa1P) couverture acier (Moréa 2P)</t>
  </si>
  <si>
    <t xml:space="preserve">Brise vue - Claustra </t>
  </si>
  <si>
    <t>Lames orientées horizontales x 1</t>
  </si>
  <si>
    <t>Autre équipement terrasse</t>
  </si>
  <si>
    <t xml:space="preserve">Eclairage extérieur avec ampoule LED </t>
  </si>
  <si>
    <t>Prise électrique simple extérieure</t>
  </si>
  <si>
    <t>Intérieur</t>
  </si>
  <si>
    <t>Revetement murs intérieurs , Cloisons &amp; Plan de travail</t>
  </si>
  <si>
    <t>Cloisons  2 finitions couleurs en mélaminé 19mm - Blanc et effet bois</t>
  </si>
  <si>
    <t>Plan de travail hydrofuge 28mm</t>
  </si>
  <si>
    <r>
      <t>Revêtement mur intérieur PVC,</t>
    </r>
    <r>
      <rPr>
        <sz val="10"/>
        <rFont val="Calibri"/>
        <family val="2"/>
        <scheme val="minor"/>
      </rPr>
      <t xml:space="preserve"> coloris beige clair</t>
    </r>
  </si>
  <si>
    <t>Portes</t>
  </si>
  <si>
    <t>Portes planes coulissantes chambres</t>
  </si>
  <si>
    <t>Portes battantes SDB et WC</t>
  </si>
  <si>
    <t>Plafond et sol</t>
  </si>
  <si>
    <t>Plafond lisse blanc cassé ou marron</t>
  </si>
  <si>
    <t xml:space="preserve">Sol en parquet stratifié 8mm, hydro +  </t>
  </si>
  <si>
    <t>Electricité</t>
  </si>
  <si>
    <t>1 pente Luminaires suspendus - chambres/pièce de vie</t>
  </si>
  <si>
    <t xml:space="preserve">1 et 2 pentes : Spots </t>
  </si>
  <si>
    <t>Eclairage intérieur ampoule LED</t>
  </si>
  <si>
    <t>Extracteur d'air électrique couplé sur luminaire SDB</t>
  </si>
  <si>
    <t xml:space="preserve">Tableau électrique 2 rangées </t>
  </si>
  <si>
    <t>Prises disponibles</t>
  </si>
  <si>
    <t xml:space="preserve">Intérieur : 11 </t>
  </si>
  <si>
    <t xml:space="preserve">USB : 1 </t>
  </si>
  <si>
    <t>terrasse : 1</t>
  </si>
  <si>
    <t>Prise TV séjour</t>
  </si>
  <si>
    <t>convecteur 1000 W séjour</t>
  </si>
  <si>
    <t>Mobilier et équipement intérieur séjour</t>
  </si>
  <si>
    <t>Table standard hauteur 70cm + 3 chaises en PVC</t>
  </si>
  <si>
    <t>Meuble de rangement type buffet</t>
  </si>
  <si>
    <t>Banquette avec coussin d'assise et dossier</t>
  </si>
  <si>
    <t>Tringle + Rideaux simple face non occultants salon</t>
  </si>
  <si>
    <t>Cuisine</t>
  </si>
  <si>
    <t xml:space="preserve">Evier Inox 1 bac + égouttoir suspendu + mitigeur </t>
  </si>
  <si>
    <t>Plaque 2 feux gaz et crédence inox</t>
  </si>
  <si>
    <t xml:space="preserve">Réfrigérateur / congélateur 212l </t>
  </si>
  <si>
    <t>Hotte filtre à charbon avec éclairage</t>
  </si>
  <si>
    <t>Cuisine meublée</t>
  </si>
  <si>
    <t>Chambres</t>
  </si>
  <si>
    <t>Literie avec sommier à lattes</t>
  </si>
  <si>
    <t xml:space="preserve">Lit 140x200cm.  Matelas confort  (35kg/m3) Oeko tex -  Chambre parents </t>
  </si>
  <si>
    <t>3 lits 80x200cm en zen ou 80x190cm en Nature dont 1 en hauteur.Matelas confort (35kg/m3) Oeko tex</t>
  </si>
  <si>
    <t xml:space="preserve">Rideaux motifs doublés occultants chambre </t>
  </si>
  <si>
    <t>Chambre parents avec tête de lit avec rangements et étagères sur tasseaux</t>
  </si>
  <si>
    <t>Rangement et/ou Penderiedans les 2 chambres</t>
  </si>
  <si>
    <t>Salle de bain &amp; WC</t>
  </si>
  <si>
    <t>Cabine de douche 100 x 80 cm</t>
  </si>
  <si>
    <t>Chauffe eau éléctrique 80 litres</t>
  </si>
  <si>
    <t>meuble SDB avec vasque céramique + Mitigeur + tablette + miroir</t>
  </si>
  <si>
    <t>WC posé + support papier toilette</t>
  </si>
  <si>
    <t>Autre</t>
  </si>
  <si>
    <t xml:space="preserve">Détecteur de fumée </t>
  </si>
  <si>
    <t>Serrure sur baie vitrée + 3 clés chalets</t>
  </si>
  <si>
    <t>Patères chambres et SDB</t>
  </si>
  <si>
    <t>n°1</t>
  </si>
  <si>
    <t>xx</t>
  </si>
  <si>
    <t>O</t>
  </si>
  <si>
    <t>Arrivée électrique en attente pour radiateur chambre</t>
  </si>
  <si>
    <t>choix</t>
  </si>
  <si>
    <r>
      <t>Fourniture d'un chauffeau-gaz ventouse à la place de l' électrique</t>
    </r>
    <r>
      <rPr>
        <sz val="9"/>
        <color theme="1"/>
        <rFont val="Calibri"/>
        <family val="2"/>
        <scheme val="minor"/>
      </rPr>
      <t xml:space="preserve"> : </t>
    </r>
    <r>
      <rPr>
        <sz val="11"/>
        <color theme="1"/>
        <rFont val="Calibri"/>
        <family val="2"/>
        <scheme val="minor"/>
      </rPr>
      <t>Pose non comprise</t>
    </r>
  </si>
  <si>
    <t>Options de confort et résidentielles</t>
  </si>
  <si>
    <t>SOUS-TOTAL CHALET AVEC EQUIPEMENTS DE SERIE</t>
  </si>
  <si>
    <t>Terrasse en porte-à-faux-encorbellement avec chassis spécifique -garde-corps non inclus</t>
  </si>
  <si>
    <t>Pilotis chalet et terrasse (hauteur maximum 1m50) - garde-corps non inclus</t>
  </si>
  <si>
    <t>Pilotis chalet grande taille (de 1m50 à 3m) : au-delà chiffrage BE - garde-corps non inclus</t>
  </si>
  <si>
    <t>Ajustements</t>
  </si>
  <si>
    <t>20m²</t>
  </si>
  <si>
    <t>2+2</t>
  </si>
  <si>
    <t>Type de toiture : 1 pente (5 %) ou 2  pentes (27%) - 2 pentes avec chéneaux de série sur chalet</t>
  </si>
  <si>
    <t xml:space="preserve">Revêtement toiture tôles bac acier (40-250-1000) / Revêtement toiture tôles effet tuilée </t>
  </si>
  <si>
    <t>Fenêtre projettante opaque SDB / WC* 50x100cm</t>
  </si>
  <si>
    <t xml:space="preserve">Baie vitrée coulissante en applique 3m </t>
  </si>
  <si>
    <t xml:space="preserve">Couverture acier </t>
  </si>
  <si>
    <t>Portes planes coulissantes</t>
  </si>
  <si>
    <t>Spots</t>
  </si>
  <si>
    <t>Intérieur : 9</t>
  </si>
  <si>
    <t xml:space="preserve">Table haute 90cm + 4 tabourets réglable en bois </t>
  </si>
  <si>
    <t>Banquette convertible avec coussin d'assise et dossier (couchage supp. De 2 personnes)</t>
  </si>
  <si>
    <t>Table basse séjour</t>
  </si>
  <si>
    <t>Tringle + Rideaux doublés occultants salon</t>
  </si>
  <si>
    <t xml:space="preserve">Réfrigérateur table top 114l </t>
  </si>
  <si>
    <t xml:space="preserve">Lit 160x200cm.  Matelas confort  (35kg/m3) Oeko tex -  Chambre parents </t>
  </si>
  <si>
    <t xml:space="preserve">Rangement et/ou Penderie </t>
  </si>
  <si>
    <t>n° 2</t>
  </si>
  <si>
    <t>Type d'édition</t>
  </si>
  <si>
    <t>Commerciaux</t>
  </si>
  <si>
    <t>ID</t>
  </si>
  <si>
    <t>Italien</t>
  </si>
  <si>
    <t>Langue</t>
  </si>
  <si>
    <t>Idioma</t>
  </si>
  <si>
    <t>Lingua</t>
  </si>
  <si>
    <t>Persona de contacto</t>
  </si>
  <si>
    <t>Persona di contatto</t>
  </si>
  <si>
    <t/>
  </si>
  <si>
    <t xml:space="preserve"> </t>
  </si>
  <si>
    <t>cliente</t>
  </si>
  <si>
    <t>Grupo / Cadena</t>
  </si>
  <si>
    <t>Gruppo / Catena</t>
  </si>
  <si>
    <t>Non</t>
  </si>
  <si>
    <t>No</t>
  </si>
  <si>
    <t>Oui</t>
  </si>
  <si>
    <t>Sí</t>
  </si>
  <si>
    <t>Sì</t>
  </si>
  <si>
    <t>Client donneur d'ordre</t>
  </si>
  <si>
    <t xml:space="preserve"> Pedidos de clientes</t>
  </si>
  <si>
    <t xml:space="preserve"> Ordini del cliente</t>
  </si>
  <si>
    <t>PAÍS</t>
  </si>
  <si>
    <t>PAESE</t>
  </si>
  <si>
    <t>CIUDAD</t>
  </si>
  <si>
    <t>CITTA'</t>
  </si>
  <si>
    <t>DEVIS</t>
  </si>
  <si>
    <t>COTIZACIÓN</t>
  </si>
  <si>
    <t>CITAZIONE</t>
  </si>
  <si>
    <t>Alojamiento</t>
  </si>
  <si>
    <t>Sistemazione</t>
  </si>
  <si>
    <t>Cantidad</t>
  </si>
  <si>
    <t>Quantità</t>
  </si>
  <si>
    <t>Precio unitario sin IVA Opciones</t>
  </si>
  <si>
    <t>Prezzo unitario IVA esclusa Opzioni</t>
  </si>
  <si>
    <t>si elección : "x</t>
  </si>
  <si>
    <t>se scelta : "x</t>
  </si>
  <si>
    <t>Precio total</t>
  </si>
  <si>
    <t>Prezzo totale</t>
  </si>
  <si>
    <t>precio por unidad</t>
  </si>
  <si>
    <t>prezzo per unità</t>
  </si>
  <si>
    <t>Alojamiento básico que incluye el equipamiento estándar detallado en la 3ª página</t>
  </si>
  <si>
    <t>Sistemazione di base comprensiva dell'equipaggiamento standard dettagliato nella 3a pagina</t>
  </si>
  <si>
    <t>Opciones de integración paisajística (fuera del chalet)</t>
  </si>
  <si>
    <t>Opzioni di integrazione del paesaggio (all'esterno dello chalet)</t>
  </si>
  <si>
    <t>Techo</t>
  </si>
  <si>
    <t>Coperture</t>
  </si>
  <si>
    <t xml:space="preserve">Voladizos interiores de techos y tejados </t>
  </si>
  <si>
    <t xml:space="preserve">Soffitti interni e sporgenze del tetto </t>
  </si>
  <si>
    <t xml:space="preserve">Marcos de aluminio </t>
  </si>
  <si>
    <t xml:space="preserve">Telai in alluminio </t>
  </si>
  <si>
    <t>Revestimiento</t>
  </si>
  <si>
    <t>Rivestimento</t>
  </si>
  <si>
    <t>Bardage Acier lisse country oblique</t>
  </si>
  <si>
    <t>Revestimiento de acero liso del país</t>
  </si>
  <si>
    <t>Rivestimento in acciaio liscio</t>
  </si>
  <si>
    <t>Bardage Acier effet bois</t>
  </si>
  <si>
    <t>Revestimiento de acero efecto madera</t>
  </si>
  <si>
    <t>Rivestimento in acciaio effetto legno</t>
  </si>
  <si>
    <t>Bardage Bois autoclave brun Classe 3</t>
  </si>
  <si>
    <t>Revestimiento de madera autoclave marrón Clase 3</t>
  </si>
  <si>
    <t>Rivestimento in legno marrone per autoclave Classe 3</t>
  </si>
  <si>
    <t>incluye</t>
  </si>
  <si>
    <t>incluso</t>
  </si>
  <si>
    <t>Marrón</t>
  </si>
  <si>
    <t>Marrone</t>
  </si>
  <si>
    <t>Elección del ambiente interior</t>
  </si>
  <si>
    <t>Scelta dell'atmosfera interna</t>
  </si>
  <si>
    <t>Bandeja acanalada Beluga</t>
  </si>
  <si>
    <t>Vassoio a coste Beluga</t>
  </si>
  <si>
    <t>elección de colores</t>
  </si>
  <si>
    <t>scelta di colori</t>
  </si>
  <si>
    <t>Ambiente zen: madera melaminada blanca y roble claro</t>
  </si>
  <si>
    <t>Atmosfera zen: legno melaminico bianco e rovere chiaro</t>
  </si>
  <si>
    <t xml:space="preserve">Ambiente Naturaleza : Madera natural Epicea </t>
  </si>
  <si>
    <t xml:space="preserve">Ambiente Natura : Legno naturale Epicea </t>
  </si>
  <si>
    <t>Colores de las sillas</t>
  </si>
  <si>
    <t>Colori delle sedie</t>
  </si>
  <si>
    <t xml:space="preserve">Cortinas de salón forradas con blackout  </t>
  </si>
  <si>
    <t xml:space="preserve">Tende per il soggiorno rivestite di tessuto oscurante </t>
  </si>
  <si>
    <t>Opciones de diseño exterior</t>
  </si>
  <si>
    <t>Opzioni di design esterno</t>
  </si>
  <si>
    <t>Calado horizontal</t>
  </si>
  <si>
    <t>Traforato orizzontale</t>
  </si>
  <si>
    <t>Calado vertical</t>
  </si>
  <si>
    <t>Traforo verticale</t>
  </si>
  <si>
    <t>Agricultura vertical</t>
  </si>
  <si>
    <t>Agricoltura verticale</t>
  </si>
  <si>
    <t>Persianas para el sombreado de la pérgola en lugar de canisse</t>
  </si>
  <si>
    <t>Louver per l'ombreggiatura della pergola al posto delle canisse</t>
  </si>
  <si>
    <t>Cubierta de pérgola de cristal con acroterio de madera + canalón</t>
  </si>
  <si>
    <t>Copertura pergola in cristallo con acroterio in legno + grondaia</t>
  </si>
  <si>
    <t>Canalón de bajada de la pérgola</t>
  </si>
  <si>
    <t>Grondaia pluviale della pergola</t>
  </si>
  <si>
    <t>Chéneau et descente de gouttières du chalet hors pergola</t>
  </si>
  <si>
    <t>Canalón y bajante del chalet fuera de la pérgola</t>
  </si>
  <si>
    <t>Grondaie e pluviali dello chalet all'esterno della pergola</t>
  </si>
  <si>
    <t>Claustra (sustituye a las lamas horizontales estándar)</t>
  </si>
  <si>
    <t>Claustra (in sostituzione delle lamelle orizzontali standard)</t>
  </si>
  <si>
    <t>1 barandilla adicional</t>
  </si>
  <si>
    <t>1 ringhiera aggiuntiva</t>
  </si>
  <si>
    <t>Rangée soubassement supp.(3 de série)</t>
  </si>
  <si>
    <t>Fila extra de zócalos (3 de serie)</t>
  </si>
  <si>
    <t>File extra di zoccoli (3 di serie)</t>
  </si>
  <si>
    <t>Opción de integración de la planta - por fachada</t>
  </si>
  <si>
    <t>Opzione integrazione impianti - per facciata</t>
  </si>
  <si>
    <t xml:space="preserve">Especifique la(s) fachada(s) correspondiente(s), considerando que el chalet está orientado hacia usted, especificando "O" para sí </t>
  </si>
  <si>
    <t xml:space="preserve">Specificare la/e facciata/e interessata/e, considerando che lo chalet è rivolto verso di voi, specificando "O" per sì </t>
  </si>
  <si>
    <t>Elección de las cortinas</t>
  </si>
  <si>
    <t>Scelta delle tende</t>
  </si>
  <si>
    <t>Opciones de aislamiento reforzadas para un uso de 4 estaciones</t>
  </si>
  <si>
    <t>Opzioni di isolamento rinforzate per un utilizzo in 4 stagioni</t>
  </si>
  <si>
    <t>Banco de madera para terraza con cojín de asiento</t>
  </si>
  <si>
    <t>Panca da terrazza in legno con cuscino di seduta</t>
  </si>
  <si>
    <t>Mesa: puede utilizarse como banco de esquina o mesa de centro para la terraza</t>
  </si>
  <si>
    <t>Tavolo - utilizzabile come panca d'angolo o tavolino da terrazzo</t>
  </si>
  <si>
    <t>Aislamiento del suelo reforzado con 60 mm de aislamiento de PU (R= 2,6)</t>
  </si>
  <si>
    <t>Isolamento del pavimento rinforzato con 60 mm di isolamento in PU (R= 2,6)</t>
  </si>
  <si>
    <t>Aislamiento del techo reforzado con aislamiento de PU de 80 mm (valor R 3,5)</t>
  </si>
  <si>
    <t>Isolamento del tetto rinforzato con 80 mm di isolamento in PU (valore R 3,5)</t>
  </si>
  <si>
    <t>Aislamiento reforzado de la pared con un fino aislamiento alveolar (valor R = 2,6)</t>
  </si>
  <si>
    <t>Isolamento della parete rinforzata con sottile isolamento alveolare (valore R = 2,6)</t>
  </si>
  <si>
    <t xml:space="preserve">Extractor de aire con sensor y sonda de humedad para el funcionamiento en 4 estaciones </t>
  </si>
  <si>
    <t xml:space="preserve">Estrattore d'aria con sensore e sonda di umidità per il funzionamento in 4 stagioni </t>
  </si>
  <si>
    <t>Suelo impermeable para zonas húmedas e inundables</t>
  </si>
  <si>
    <t>Pavimento impermeabile per aree umide e allagabili</t>
  </si>
  <si>
    <t>Kit de rastreo para el funcionamiento en 4 estaciones</t>
  </si>
  <si>
    <t>Kit tracciante per il funzionamento in 4 stagioni</t>
  </si>
  <si>
    <t>Ventana panorámica integrada, tamaño 2m40, 2 hojas</t>
  </si>
  <si>
    <t>Bovindo integrato, dimensioni 2m40, 2 ante</t>
  </si>
  <si>
    <t>Número de fachadas</t>
  </si>
  <si>
    <t>Numero di facciate</t>
  </si>
  <si>
    <t>Opciones de calefacción</t>
  </si>
  <si>
    <t>Opzioni di riscaldamento</t>
  </si>
  <si>
    <t>Calentador eléctrico de convección 500W Habitaciones</t>
  </si>
  <si>
    <t>Riscaldatore elettrico a convettore 500W Camere</t>
  </si>
  <si>
    <t>Radiador inteligente eco control - salón 1000 W</t>
  </si>
  <si>
    <t>Radiatore Smart eco control - soggiorno 1000 W</t>
  </si>
  <si>
    <t>Radiador inteligente eco control - dormitorio 500 W</t>
  </si>
  <si>
    <t>Radiatore Smart eco control - camera da letto 500 W</t>
  </si>
  <si>
    <t>Suministro de electricidad en espera para el radiador de la habitación</t>
  </si>
  <si>
    <t>Alimentazione elettrica in standby per il radiatore della stanza</t>
  </si>
  <si>
    <t>Pre-equipamiento eléctrico para la climatización</t>
  </si>
  <si>
    <t>Predisposizione elettrica per il condizionamento dell'aria</t>
  </si>
  <si>
    <t>Secador de toallas de baño</t>
  </si>
  <si>
    <t>Asciugamani da bagno</t>
  </si>
  <si>
    <t>Eliminación del radiador de la sala de estar</t>
  </si>
  <si>
    <t>Rimozione del radiatore dal soggiorno</t>
  </si>
  <si>
    <t>Opciones de fluidos (agua, gas, electricidad)</t>
  </si>
  <si>
    <t>Opzioni di fluidi (acqua, gas, elettricità)</t>
  </si>
  <si>
    <t>Grifo mezclador de 3 vías</t>
  </si>
  <si>
    <t>Miscelatore a 3 vie</t>
  </si>
  <si>
    <t xml:space="preserve">Placa de gas de 2 fuegos </t>
  </si>
  <si>
    <t xml:space="preserve">Piano cottura a gas a 2 fuochi </t>
  </si>
  <si>
    <t xml:space="preserve">Placa de gas de 4 quemadores </t>
  </si>
  <si>
    <t xml:space="preserve">Piano cottura a gas a 4 fuochi </t>
  </si>
  <si>
    <t>Placa de inducción</t>
  </si>
  <si>
    <t>Piano cottura a induzione</t>
  </si>
  <si>
    <t>Grill para microondas</t>
  </si>
  <si>
    <t>Griglia a microonde</t>
  </si>
  <si>
    <t>Suministro de un calentador de gas en lugar de uno eléctrico: Instalación no incluida</t>
  </si>
  <si>
    <t>Fornitura di un riscaldatore a gas al posto di uno elettrico: installazione non inclusa.</t>
  </si>
  <si>
    <t>No se recomienda la caja externa para el calentador eléctrico</t>
  </si>
  <si>
    <t>Non si consiglia il box esterno per il riscaldatore elettrico</t>
  </si>
  <si>
    <t>Reductor de presión en el suministro de agua del chalet (para presión &gt; 5 bares)</t>
  </si>
  <si>
    <t>Riduttore di pressione sulla rete idrica dello chalet (per pressione &gt; 5 bar)</t>
  </si>
  <si>
    <t>Suministro y conexión de un lavavajillas de 12 plazas</t>
  </si>
  <si>
    <t>Fornitura e collegamento di una lavastoviglie a 12 posti</t>
  </si>
  <si>
    <t>Preparación para la conexión de una lavadora en lugar del lavavajillas</t>
  </si>
  <si>
    <t>Preparazione per il collegamento di una lavatrice al posto della lavastoviglie</t>
  </si>
  <si>
    <t>Conexión de la entrada de agua y drenaje de las aguas grises y negras</t>
  </si>
  <si>
    <t>Collegamento dell'ingresso dell'acqua e scarico delle acque grigie e nere</t>
  </si>
  <si>
    <t xml:space="preserve">Grifería HANSGROHE para baño y cocina </t>
  </si>
  <si>
    <t xml:space="preserve">Miscelatori HANSGROHE per lavello bagno e cucina </t>
  </si>
  <si>
    <t>Aseo colgante</t>
  </si>
  <si>
    <t>W.C sospeso</t>
  </si>
  <si>
    <t>Colchón con ropa de cama de lujo</t>
  </si>
  <si>
    <t>Materasso con biancheria di lusso</t>
  </si>
  <si>
    <t>Retirada de todas las camas de pie del chalet (somier + colchón)</t>
  </si>
  <si>
    <t>Rimozione di tutti i letti in piedi dello chalet (rete + materasso)</t>
  </si>
  <si>
    <t>Cama Jazz - 3 camas (2+1)</t>
  </si>
  <si>
    <t>Letto Jazz - 3 letti (2+1)</t>
  </si>
  <si>
    <t>Sillas fermob salón</t>
  </si>
  <si>
    <t>Sedie fermob soggiorno</t>
  </si>
  <si>
    <t>Sofá cama convertible en el salón</t>
  </si>
  <si>
    <t>Divano letto trasformabile in soggiorno</t>
  </si>
  <si>
    <t xml:space="preserve">Persianas blancas en las ventanas de los dormitorios </t>
  </si>
  <si>
    <t xml:space="preserve">Tapparelle bianche sulle finestre della camera da letto </t>
  </si>
  <si>
    <t>Mosquiteras en las ventanas de los dormitorios</t>
  </si>
  <si>
    <t>Zanzariere alle finestre delle camere da letto</t>
  </si>
  <si>
    <t xml:space="preserve">Elección </t>
  </si>
  <si>
    <t xml:space="preserve">Scelta </t>
  </si>
  <si>
    <t>Opciones de funcionamiento</t>
  </si>
  <si>
    <t>Opzioni operative</t>
  </si>
  <si>
    <t xml:space="preserve">Kit de inventario </t>
  </si>
  <si>
    <t xml:space="preserve">Kit di inventario </t>
  </si>
  <si>
    <t>Kit de ropa de cama nórdica</t>
  </si>
  <si>
    <t>Kit biancheria da letto con piumone</t>
  </si>
  <si>
    <t>Kit de ropa de cama de vellón</t>
  </si>
  <si>
    <t>Kit di biancheria da letto in pile</t>
  </si>
  <si>
    <t>Kit de inventario de grupos y cadenas</t>
  </si>
  <si>
    <t>Kit per l'inventario di gruppi e catene</t>
  </si>
  <si>
    <t xml:space="preserve">Contacto de llave en el circuito de iluminación + 1 cerradura de llave para el pase de alojamiento + 3 llaves de chalet </t>
  </si>
  <si>
    <t xml:space="preserve">Contatto a chiave sul circuito di illuminazione + 1 serratura a chiave per il pass dell'alloggio + 3 chiavi dello chalet </t>
  </si>
  <si>
    <t xml:space="preserve">Pase de llave de Barillet </t>
  </si>
  <si>
    <t xml:space="preserve">Passaggio chiave di Barillet </t>
  </si>
  <si>
    <t xml:space="preserve">SUBTOTAL DE OPCIONES </t>
  </si>
  <si>
    <t xml:space="preserve">SUB-TOTALE OPZIONI </t>
  </si>
  <si>
    <t>no disponible</t>
  </si>
  <si>
    <t>non disponibile</t>
  </si>
  <si>
    <t>TOTAL SIN CHALET CON OPCIONES SELECCIONADAS</t>
  </si>
  <si>
    <t>TOTALE TASSE ESCLUSE CHALET CON OPZIONI SELEZIONATE</t>
  </si>
  <si>
    <t xml:space="preserve">Servicio: suministro e instalación de soportes para sustituir los largueros de hormigón </t>
  </si>
  <si>
    <t xml:space="preserve">Servizio: fornitura e posa in opera di supporti in sostituzione dei traversi in cemento armato </t>
  </si>
  <si>
    <t>Vigas de celosía Douglas Earth</t>
  </si>
  <si>
    <t>Trave a traliccio douglas earth</t>
  </si>
  <si>
    <t xml:space="preserve">Marco de vigas de abeto Douglas mar </t>
  </si>
  <si>
    <t xml:space="preserve">Telaio a travi in abete di Douglas mare </t>
  </si>
  <si>
    <t xml:space="preserve">Bastidor metálico con ruedas </t>
  </si>
  <si>
    <t xml:space="preserve">Struttura in metallo con ruote </t>
  </si>
  <si>
    <t xml:space="preserve">Barrera de 70 cm de altura </t>
  </si>
  <si>
    <t xml:space="preserve">Barriera alta 70 cm </t>
  </si>
  <si>
    <t>Barandilla de madera y red de 1 m de altura (obligatoria a partir de 80 cm) + escalera de 6 peldaños</t>
  </si>
  <si>
    <t>Ringhiera in legno e rete alta 1 m (obbligatoria a partire da 80 cm) + scala di 6 gradini</t>
  </si>
  <si>
    <t>Terraza en voladizo con marco específico - Barandilla no incluida</t>
  </si>
  <si>
    <t>Terrazza a sbalzo con telaio specifico - parapetto non incluso</t>
  </si>
  <si>
    <t>Pilotes de chalet y terraza (altura máxima 1m50) - Barandilla no incluida</t>
  </si>
  <si>
    <t>Palificazione di chalet e terrazze (altezza massima 1m50) - Ringhiera non inclusa</t>
  </si>
  <si>
    <t>Pilotes de chalet grandes (de 1,5 m a 3 m): más allá del presupuesto de BE - Barandilla no incluida</t>
  </si>
  <si>
    <t>Palificazioni per chalet grandi (da 1,5 m a 3 m): oltre il preventivo BE - Ringhiera non inclusa</t>
  </si>
  <si>
    <t xml:space="preserve">Pasarela de acceso posterior + barandilla completa </t>
  </si>
  <si>
    <t xml:space="preserve">Passerella di accesso posteriore + ringhiera completa </t>
  </si>
  <si>
    <t>Escalera doble con 3 peldaños y contrahuella (ancho total 3 metros)</t>
  </si>
  <si>
    <t>Scala doppia con 3 gradini e alzata (larghezza totale 3 metri)</t>
  </si>
  <si>
    <t xml:space="preserve">Tornillos de cimentación para pilotes </t>
  </si>
  <si>
    <t xml:space="preserve">Viti di fondazione per palificazioni </t>
  </si>
  <si>
    <t>Dalles de support chassis (Prix unitaire correspond au prix des dalles pour un chalet complet)</t>
  </si>
  <si>
    <t>Losas de soporte del marco (el precio unitario corresponde al precio de las losas de un chalet completo)</t>
  </si>
  <si>
    <t>Lastre di supporto del telaio (il prezzo unitario corrisponde al prezzo delle lastre per uno chalet completo)</t>
  </si>
  <si>
    <t>Otros servicios</t>
  </si>
  <si>
    <t>Altri servizi</t>
  </si>
  <si>
    <t>Clave de funcionamiento</t>
  </si>
  <si>
    <t>Chiave di funzionamento</t>
  </si>
  <si>
    <t>Módulo de caseta de jardín con revestimiento de madera autoclave marrón</t>
  </si>
  <si>
    <t>Modulo casetta da giardino con rivestimento in legno autoclave marrone</t>
  </si>
  <si>
    <t>Módulo de ampliación del suelo de madera autoclave marrón 2m00 x 2m00 entregado e instalado</t>
  </si>
  <si>
    <t>Modulo di estensione del pavimento in legno autoclave marrone 2m00 x 2m00 consegnato e installato</t>
  </si>
  <si>
    <t xml:space="preserve">Ajustes </t>
  </si>
  <si>
    <t xml:space="preserve">Regolazioni </t>
  </si>
  <si>
    <t>Lado izquierdo</t>
  </si>
  <si>
    <t>Lato sinistro</t>
  </si>
  <si>
    <t>Lado derecho</t>
  </si>
  <si>
    <t>Lato destro</t>
  </si>
  <si>
    <t>Volver</t>
  </si>
  <si>
    <t>Indietro</t>
  </si>
  <si>
    <t>Bueno para el acuerdo con fecha</t>
  </si>
  <si>
    <t>Buono per un accordo datato</t>
  </si>
  <si>
    <t>Firma</t>
  </si>
  <si>
    <t>TOTAL SIN IMPUESTOS CON TODAS LAS OPCIONES Y SERVICIOS</t>
  </si>
  <si>
    <t>TOTALE IVA ESCLUSA CON TUTTE LE OPZIONI E I SERVIZI</t>
  </si>
  <si>
    <t>TOTAL HT POR CHALET</t>
  </si>
  <si>
    <t>TOTALE HT PER CHALET</t>
  </si>
  <si>
    <t>EQUIPAMIENTO DE SERIE</t>
  </si>
  <si>
    <t>EQUIPAGGIAMENTO STANDARD</t>
  </si>
  <si>
    <t>General</t>
  </si>
  <si>
    <t>Generale</t>
  </si>
  <si>
    <t>No disponible</t>
  </si>
  <si>
    <t>Non disponibile</t>
  </si>
  <si>
    <t>Sello del cliente</t>
  </si>
  <si>
    <t>Timbro del cliente</t>
  </si>
  <si>
    <t>SUBTOTAL DE OPCIONES DE SERVICIO, EQUIPOS DE EXPLOTACIÓN Y OTROS COSTES</t>
  </si>
  <si>
    <t>SUB-TOTALE DELLE OPZIONI DI SERVIZIO, DELLE ATTREZZATURE OPERATIVE E DI ALTRI COSTI</t>
  </si>
  <si>
    <t>Totale</t>
  </si>
  <si>
    <t xml:space="preserve">Zona de estar </t>
  </si>
  <si>
    <t xml:space="preserve">Zona giorno </t>
  </si>
  <si>
    <t>Zona de terrazas</t>
  </si>
  <si>
    <t>Area della terrazza</t>
  </si>
  <si>
    <t xml:space="preserve">Número de habitaciones </t>
  </si>
  <si>
    <t xml:space="preserve">Numero di camere da letto </t>
  </si>
  <si>
    <t>Número de camas</t>
  </si>
  <si>
    <t>Numero di letti</t>
  </si>
  <si>
    <t>Número de baños</t>
  </si>
  <si>
    <t>Numero di bagni</t>
  </si>
  <si>
    <t xml:space="preserve">Número de aseos </t>
  </si>
  <si>
    <t xml:space="preserve">Numero di servizi igienici </t>
  </si>
  <si>
    <t>Potencia eléctrica mínima (excluyendo las opciones)</t>
  </si>
  <si>
    <t>Potenza elettrica minima (escluse le opzioni)</t>
  </si>
  <si>
    <t>Montaje in situ Cliente</t>
  </si>
  <si>
    <t>Montaggio in loco Cliente</t>
  </si>
  <si>
    <t>Elementos estructurales</t>
  </si>
  <si>
    <t>Elementi strutturali</t>
  </si>
  <si>
    <t>Soporte</t>
  </si>
  <si>
    <t>Supporto</t>
  </si>
  <si>
    <t>Acceso a la casa de campo</t>
  </si>
  <si>
    <t>Accesso al cottage</t>
  </si>
  <si>
    <t>Marco de aluminio</t>
  </si>
  <si>
    <t>Telaio in alluminio</t>
  </si>
  <si>
    <t>Adaptación al suelo y acceso al chalet</t>
  </si>
  <si>
    <t>Adattamento al suolo e accesso allo chalet</t>
  </si>
  <si>
    <t>Terraza</t>
  </si>
  <si>
    <t>Terrazza</t>
  </si>
  <si>
    <t>Paredes</t>
  </si>
  <si>
    <t>Muri</t>
  </si>
  <si>
    <t>Estructura</t>
  </si>
  <si>
    <t>Struttura</t>
  </si>
  <si>
    <t>Suelo</t>
  </si>
  <si>
    <t>Piano</t>
  </si>
  <si>
    <t>Tablas de la terraza</t>
  </si>
  <si>
    <t>Tavole da terrazza</t>
  </si>
  <si>
    <t>Cubierta de la terraza</t>
  </si>
  <si>
    <t>Copertura della terrazza</t>
  </si>
  <si>
    <t xml:space="preserve">Proyección - Claustra </t>
  </si>
  <si>
    <t xml:space="preserve">Screening - Claustra </t>
  </si>
  <si>
    <t>Otros equipos de terraza</t>
  </si>
  <si>
    <t>Altre attrezzature per terrazze</t>
  </si>
  <si>
    <t>Interior</t>
  </si>
  <si>
    <t>Interno</t>
  </si>
  <si>
    <t>Revestimiento de paredes interiores, tabiques y encimeras</t>
  </si>
  <si>
    <t>Rivestimento di pareti interne, divisori e piani di lavoro</t>
  </si>
  <si>
    <t>Tipo de tejado: 1 pendiente (5%) o 2 pendientes (27%) - 2 pendientes con canalones de serie en el chalet</t>
  </si>
  <si>
    <t>Tipo di tetto: 1 pendenza (5%) o 2 pendenze (27%) - 2 pendenze con grondaie di serie sullo chalet</t>
  </si>
  <si>
    <t xml:space="preserve">Paneles sándwich de acero y poliuretano expandido de 40 mm </t>
  </si>
  <si>
    <t xml:space="preserve">Pannelli sandwich acciaio/PU in poliuretano espanso 40mm </t>
  </si>
  <si>
    <t xml:space="preserve">Chapas de acero para revestimiento de tejados (40-250-1000) / Chapas de efecto teja para revestimiento de tejados  </t>
  </si>
  <si>
    <t xml:space="preserve">Lamiere di acciaio per rivestimenti di tetti (40-250-1000) / Lamiere effetto tegola per rivestimenti di tetti  </t>
  </si>
  <si>
    <t>Ventanas correderas 99 x100cm</t>
  </si>
  <si>
    <t>Finestre scorrevoli 99 x100 cm</t>
  </si>
  <si>
    <t>Ventanas opacas que sobresalen en el baño y el WC 40x40cm</t>
  </si>
  <si>
    <t>Finestre sporgenti opache in bagno e WC 40x40cm</t>
  </si>
  <si>
    <t xml:space="preserve">Ventana panorámica corredera de 2,43m </t>
  </si>
  <si>
    <t xml:space="preserve">Bovindo scorrevole 2,43 m </t>
  </si>
  <si>
    <t>Paneles sándwich 40mm acero/PU - exterior acero liso País oblicuo 1 color / 3 opciones</t>
  </si>
  <si>
    <t>Pannelli sandwich 40 mm acciaio/PU - esterno acciaio liscio Paese obliquo 1 colore / 3 scelte</t>
  </si>
  <si>
    <t>Madera de autoclave marrón</t>
  </si>
  <si>
    <t>Legno marrone per autoclave</t>
  </si>
  <si>
    <t>Suelo OSB 19mm CL III (excepto si la opción de aislamiento del suelo)</t>
  </si>
  <si>
    <t>Pavimento OSB 19 mm CL III (tranne se si opta per l'isolamento del pavimento)</t>
  </si>
  <si>
    <t xml:space="preserve">3 tiras de base marrón para autoclave </t>
  </si>
  <si>
    <t xml:space="preserve">3 strisce di base marrone per autoclave </t>
  </si>
  <si>
    <t>Puertas</t>
  </si>
  <si>
    <t>Porte</t>
  </si>
  <si>
    <t>Escalera de tres peldaños a la terraza (ancho 1,5 m)</t>
  </si>
  <si>
    <t>Scala tripla per accedere alla terrazza (larghezza 1,5 m)</t>
  </si>
  <si>
    <t>Techo y suelo</t>
  </si>
  <si>
    <t>Soffitto e pavimento</t>
  </si>
  <si>
    <t>Tablas de terraza antideslizantes CL3 Marrón</t>
  </si>
  <si>
    <t>Tavole da terrazza antiscivolo CL3 Brown</t>
  </si>
  <si>
    <t>Pérgola de sombra con canisse (Moréa 1P) y cubierta de acero (Moréa 2P)</t>
  </si>
  <si>
    <t>Pergola ombreggiante con canisse (Moréa 1P) e copertura in acciaio (Moréa 2P)</t>
  </si>
  <si>
    <t>Lamas horizontales x 1</t>
  </si>
  <si>
    <t>Lamelle orizzontali x 1</t>
  </si>
  <si>
    <t xml:space="preserve">Iluminación exterior con bombilla LED </t>
  </si>
  <si>
    <t xml:space="preserve">Illuminazione esterna con lampadina a LED </t>
  </si>
  <si>
    <t>Enchufe simple externo</t>
  </si>
  <si>
    <t>Presa singola esterna</t>
  </si>
  <si>
    <t>Muebles y equipamiento en el interior de la sala de estar</t>
  </si>
  <si>
    <t>Mobili e attrezzature del soggiorno</t>
  </si>
  <si>
    <t>Tabiques con 2 acabados de color en melamina de 19mm - Blanco y efecto madera</t>
  </si>
  <si>
    <t>Divisori con 2 finiture di colore in melamina da 19 mm - Bianco e effetto legno</t>
  </si>
  <si>
    <t>Encimera impermeable 28mm</t>
  </si>
  <si>
    <t>Piano di lavoro impermeabile da 28 mm</t>
  </si>
  <si>
    <t>Revêtement mur intérieur PVC, coloris beige clair</t>
  </si>
  <si>
    <t>Revestimiento interior de PVC, color beige claro</t>
  </si>
  <si>
    <t>Rivestimento murale interno in PVC, colore beige chiaro</t>
  </si>
  <si>
    <t>Puertas correderas planas en los dormitorios</t>
  </si>
  <si>
    <t>Porte scorrevoli piatte nelle camere da letto</t>
  </si>
  <si>
    <t>Puertas abatibles en el baño y en el WC</t>
  </si>
  <si>
    <t>Porte a battente per bagno e WC</t>
  </si>
  <si>
    <t>Techo liso de color blanquecino o marrón</t>
  </si>
  <si>
    <t>Soffitto liscio bianco sporco o marrone</t>
  </si>
  <si>
    <t xml:space="preserve">Suelo de parquet laminado de 8 mm, pendiente hidro + 1  </t>
  </si>
  <si>
    <t xml:space="preserve">Parquet laminato 8 mm, pendenza idro + 1  </t>
  </si>
  <si>
    <t>1 pendiente Lámparas colgantes - dormitorios/salón</t>
  </si>
  <si>
    <t>1 pendenza Apparecchi di illuminazione a sospensione - camere da letto/soggiorno</t>
  </si>
  <si>
    <t xml:space="preserve">1 y 2 pendientes : Focos de atención </t>
  </si>
  <si>
    <t xml:space="preserve">1 e 2 pendenze : Riflettori puntati </t>
  </si>
  <si>
    <t>Bombilla LED de iluminación interior</t>
  </si>
  <si>
    <t>Illuminazione interna Lampadina LED</t>
  </si>
  <si>
    <t>Extractor de aire eléctrico acoplado a la luminaria del baño</t>
  </si>
  <si>
    <t>Estrattore d'aria elettrico accoppiato alla luce del bagno</t>
  </si>
  <si>
    <t xml:space="preserve">Cuadro eléctrico 2 filas </t>
  </si>
  <si>
    <t xml:space="preserve">Pannello elettrico 2 file </t>
  </si>
  <si>
    <t>Tomas de corriente disponibles</t>
  </si>
  <si>
    <t>Prese disponibili</t>
  </si>
  <si>
    <t>Enchufe de TV sala de estar</t>
  </si>
  <si>
    <t>Presa TV soggiorno</t>
  </si>
  <si>
    <t>Calentador de convección de 1000 W sala de estar</t>
  </si>
  <si>
    <t>Stufa a convettore 1000 W soggiorno</t>
  </si>
  <si>
    <t>Mesa estándar de 70 cm de altura + 3 sillas de PVC</t>
  </si>
  <si>
    <t>Tavolo standard altezza 70 cm + 3 sedie in PVC</t>
  </si>
  <si>
    <t>Unidad de almacenamiento tipo buffet</t>
  </si>
  <si>
    <t>Magazzino a buffet</t>
  </si>
  <si>
    <t>Banco con asiento y respaldo</t>
  </si>
  <si>
    <t>Panca con cuscino di seduta e di schienale</t>
  </si>
  <si>
    <t>Varilla + cortinas de un solo lado (no blackout) salón</t>
  </si>
  <si>
    <t>Bastone + tende monofacciali (non oscuranti) soggiorno</t>
  </si>
  <si>
    <t xml:space="preserve">Fregadero de acero inoxidable + escurridor suspendido + grifo mezclador </t>
  </si>
  <si>
    <t xml:space="preserve">Lavello in acciaio inox + sgocciolatoio sospeso + miscelatore </t>
  </si>
  <si>
    <t>Placa de gas de 2 fuegos y mueble de acero inoxidable</t>
  </si>
  <si>
    <t>Piano cottura a gas a 2 fuochi e credenza in acciaio inox</t>
  </si>
  <si>
    <t xml:space="preserve">Frigorífico / congelador de 212l </t>
  </si>
  <si>
    <t xml:space="preserve">Frigorifero/congelatore da 212 l </t>
  </si>
  <si>
    <t>Campana con filtro de carbón con iluminación</t>
  </si>
  <si>
    <t>Cappa con filtro a carbone e illuminazione</t>
  </si>
  <si>
    <t>Cocina amueblada</t>
  </si>
  <si>
    <t>Cucina arredata</t>
  </si>
  <si>
    <t>Camas con somier de láminas</t>
  </si>
  <si>
    <t>Letto con rete a doghe</t>
  </si>
  <si>
    <t xml:space="preserve">Cama 140x200cm.  Colchón confort (35kg/m3) Oeko tex - Dormitorio de los padres </t>
  </si>
  <si>
    <t xml:space="preserve">Letto 140x200cm.  Materasso comfort (35kg/m3) Oeko tex - Camera dei genitori </t>
  </si>
  <si>
    <t>3 camas 80x200cm en Zen o 80x190cm en Nature, 1 de las cuales es de alto.confort de colchón (35kg/m3) Oeko tex</t>
  </si>
  <si>
    <t>3 letti 80x200cm in Zen o 80x190cm in Nature, di cui 1 ad alto comfort.materasso (35kg/m3) Oeko tex</t>
  </si>
  <si>
    <t xml:space="preserve">Las cortinas duplican los patrones de ocultación de la habitación </t>
  </si>
  <si>
    <t xml:space="preserve">Le tende raddoppiano i motivi di occultamento della stanza </t>
  </si>
  <si>
    <t>Dormitorio de los padres con cabecero con almacenaje y estantes sobre listones</t>
  </si>
  <si>
    <t>Camera da letto dei genitori con testiera con contenitore e mensole su listelli</t>
  </si>
  <si>
    <t>Almacenamiento y/o armario en ambos dormitorios</t>
  </si>
  <si>
    <t>Armadio e/o guardaroba in entrambe le camere da letto</t>
  </si>
  <si>
    <t>Cabina de ducha 100 x 80 cm</t>
  </si>
  <si>
    <t>Box doccia 100 x 80 cm</t>
  </si>
  <si>
    <t>Calentador de agua eléctrico de 80 litros</t>
  </si>
  <si>
    <t>Scaldabagno elettrico da 80 litri</t>
  </si>
  <si>
    <t>mueble de baño con lavabo de cerámica + grifo mezclador + estante + espejo</t>
  </si>
  <si>
    <t>mobile da bagno con lavabo in ceramica + miscelatore + mensola + specchio</t>
  </si>
  <si>
    <t>WC + soporte de papel higiénico</t>
  </si>
  <si>
    <t>WC + porta carta igienica</t>
  </si>
  <si>
    <t xml:space="preserve">Detector de humo </t>
  </si>
  <si>
    <t xml:space="preserve">Rivelatore di fumo </t>
  </si>
  <si>
    <t>Cerradura en la ventana de la bahía + 3 llaves de la casa de campo</t>
  </si>
  <si>
    <t>Serratura del bovindo + 3 chiavi di casa</t>
  </si>
  <si>
    <t>Ganchos para dormitorios y baños</t>
  </si>
  <si>
    <t>Ganci per camera e bagno</t>
  </si>
  <si>
    <t>Electricidad</t>
  </si>
  <si>
    <t>Elettricità</t>
  </si>
  <si>
    <t>Cocina</t>
  </si>
  <si>
    <t>Cucina</t>
  </si>
  <si>
    <t>Habitaciones</t>
  </si>
  <si>
    <t>Camere</t>
  </si>
  <si>
    <t>Baño y WC</t>
  </si>
  <si>
    <t>Bagno e WC</t>
  </si>
  <si>
    <t>Otros</t>
  </si>
  <si>
    <t>Altro</t>
  </si>
  <si>
    <t>Español</t>
  </si>
  <si>
    <t>Pose sur longrines (fourniture et mise en œuvre  à la charge du client selon prescriptions)</t>
  </si>
  <si>
    <t>Montaje sobre alféizares (suministro e instalación a cargo del cliente de acuerdo con las especificaciones)</t>
  </si>
  <si>
    <t>Montaggio su davanzali (fornitura e installazione a cura del cliente secondo le specifiche)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</si>
</sst>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\ &quot;€&quot;"/>
    <numFmt numFmtId="165" formatCode="0#&quot; &quot;##&quot; &quot;##&quot; &quot;##&quot; &quot;##"/>
    <numFmt numFmtId="166" formatCode="d/m/yy;@"/>
  </numFmts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Wingdings 2"/>
      <family val="1"/>
      <charset val="2"/>
    </font>
    <font>
      <sz val="11"/>
      <color theme="1"/>
      <name val="Wingdings 2"/>
      <family val="1"/>
      <charset val="2"/>
    </font>
    <font>
      <sz val="10"/>
      <color theme="1"/>
      <name val="Calibri"/>
      <family val="2"/>
      <scheme val="minor"/>
    </font>
    <font>
      <sz val="10"/>
      <color theme="1"/>
      <name val="Roboto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Wingdings"/>
      <charset val="2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Roboto"/>
    </font>
    <font>
      <b/>
      <sz val="10"/>
      <name val="Calibri"/>
      <family val="2"/>
      <scheme val="minor"/>
    </font>
    <font>
      <sz val="10"/>
      <color theme="5"/>
      <name val="Calibri"/>
      <family val="2"/>
      <scheme val="minor"/>
    </font>
    <font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AECD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4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EE7B8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4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2" borderId="0" xfId="0" applyFill="1"/>
    <xf numFmtId="0" fontId="3" fillId="2" borderId="1" xfId="0" applyFont="1" applyFill="1" applyBorder="1" applyAlignment="1">
      <alignment horizontal="left" indent="1"/>
    </xf>
    <xf numFmtId="0" fontId="4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164" fontId="0" fillId="2" borderId="0" xfId="0" applyNumberFormat="1" applyFill="1"/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vertical="center" wrapText="1"/>
    </xf>
    <xf numFmtId="0" fontId="3" fillId="2" borderId="1" xfId="0" applyFont="1" applyFill="1" applyBorder="1" applyAlignment="1">
      <alignment horizontal="right" indent="1"/>
    </xf>
    <xf numFmtId="0" fontId="5" fillId="2" borderId="0" xfId="0" applyFont="1" applyFill="1" applyAlignment="1">
      <alignment horizontal="left" vertical="center" wrapText="1"/>
    </xf>
    <xf numFmtId="165" fontId="0" fillId="2" borderId="0" xfId="0" applyNumberFormat="1" applyFill="1" applyAlignment="1">
      <alignment horizontal="left"/>
    </xf>
    <xf numFmtId="164" fontId="0" fillId="2" borderId="0" xfId="0" applyNumberFormat="1" applyFill="1" applyAlignment="1">
      <alignment horizontal="center" vertical="center"/>
    </xf>
    <xf numFmtId="0" fontId="6" fillId="2" borderId="1" xfId="0" applyFont="1" applyFill="1" applyBorder="1" applyAlignment="1">
      <alignment horizontal="right" indent="1"/>
    </xf>
    <xf numFmtId="0" fontId="7" fillId="2" borderId="0" xfId="0" quotePrefix="1" applyFont="1" applyFill="1" applyAlignment="1">
      <alignment horizontal="left" vertical="center" wrapText="1"/>
    </xf>
    <xf numFmtId="0" fontId="8" fillId="2" borderId="0" xfId="1" applyFill="1" applyBorder="1" applyAlignment="1" applyProtection="1"/>
    <xf numFmtId="164" fontId="8" fillId="2" borderId="0" xfId="1" applyNumberFormat="1" applyFill="1" applyBorder="1" applyAlignment="1" applyProtection="1"/>
    <xf numFmtId="0" fontId="0" fillId="2" borderId="0" xfId="0" applyFill="1" applyAlignment="1">
      <alignment horizontal="left"/>
    </xf>
    <xf numFmtId="0" fontId="9" fillId="2" borderId="0" xfId="0" applyFont="1" applyFill="1" applyAlignment="1">
      <alignment horizontal="left"/>
    </xf>
    <xf numFmtId="0" fontId="6" fillId="0" borderId="0" xfId="0" applyFont="1" applyAlignment="1">
      <alignment horizontal="right" indent="1"/>
    </xf>
    <xf numFmtId="0" fontId="7" fillId="0" borderId="0" xfId="0" quotePrefix="1" applyFont="1" applyAlignment="1">
      <alignment horizontal="left" vertical="center" wrapText="1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9" fillId="0" borderId="0" xfId="0" applyFont="1" applyAlignment="1">
      <alignment horizontal="left"/>
    </xf>
    <xf numFmtId="0" fontId="3" fillId="2" borderId="1" xfId="0" applyFont="1" applyFill="1" applyBorder="1" applyAlignment="1">
      <alignment horizontal="right" vertical="top" wrapText="1" indent="1"/>
    </xf>
    <xf numFmtId="0" fontId="10" fillId="2" borderId="0" xfId="0" applyFont="1" applyFill="1"/>
    <xf numFmtId="0" fontId="0" fillId="2" borderId="0" xfId="0" applyFill="1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0" fontId="0" fillId="0" borderId="0" xfId="0" applyAlignment="1">
      <alignment vertical="center"/>
    </xf>
    <xf numFmtId="164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0" borderId="6" xfId="0" applyBorder="1"/>
    <xf numFmtId="0" fontId="0" fillId="0" borderId="0" xfId="0" applyAlignment="1" applyProtection="1">
      <alignment horizontal="left"/>
      <protection locked="0"/>
    </xf>
    <xf numFmtId="0" fontId="12" fillId="4" borderId="7" xfId="0" applyFont="1" applyFill="1" applyBorder="1" applyAlignment="1">
      <alignment horizontal="left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7" xfId="0" applyNumberFormat="1" applyFont="1" applyFill="1" applyBorder="1" applyAlignment="1">
      <alignment horizontal="center" vertical="center"/>
    </xf>
    <xf numFmtId="164" fontId="12" fillId="4" borderId="7" xfId="0" applyNumberFormat="1" applyFont="1" applyFill="1" applyBorder="1" applyAlignment="1">
      <alignment horizontal="center" vertical="center"/>
    </xf>
    <xf numFmtId="164" fontId="12" fillId="4" borderId="4" xfId="0" applyNumberFormat="1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left" vertical="center"/>
    </xf>
    <xf numFmtId="0" fontId="14" fillId="0" borderId="6" xfId="0" applyFont="1" applyBorder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164" fontId="0" fillId="6" borderId="8" xfId="0" applyNumberForma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14" fillId="0" borderId="0" xfId="0" applyFont="1"/>
    <xf numFmtId="0" fontId="0" fillId="0" borderId="0" xfId="0" applyAlignment="1">
      <alignment horizontal="center" vertical="center" wrapText="1"/>
    </xf>
    <xf numFmtId="164" fontId="13" fillId="0" borderId="8" xfId="0" applyNumberFormat="1" applyFont="1" applyBorder="1" applyAlignment="1">
      <alignment horizontal="center"/>
    </xf>
    <xf numFmtId="164" fontId="0" fillId="0" borderId="8" xfId="0" applyNumberFormat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164" fontId="0" fillId="0" borderId="8" xfId="0" applyNumberFormat="1" applyBorder="1" applyAlignment="1">
      <alignment horizontal="center"/>
    </xf>
    <xf numFmtId="164" fontId="0" fillId="0" borderId="6" xfId="0" applyNumberFormat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15" fillId="0" borderId="0" xfId="0" applyFont="1" applyAlignment="1">
      <alignment horizontal="center" vertical="center"/>
    </xf>
    <xf numFmtId="0" fontId="0" fillId="5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164" fontId="0" fillId="0" borderId="8" xfId="0" applyNumberFormat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7" borderId="8" xfId="0" applyNumberFormat="1" applyFill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164" fontId="13" fillId="7" borderId="8" xfId="0" applyNumberFormat="1" applyFont="1" applyFill="1" applyBorder="1" applyAlignment="1">
      <alignment horizontal="center"/>
    </xf>
    <xf numFmtId="164" fontId="0" fillId="0" borderId="0" xfId="0" applyNumberFormat="1" applyAlignment="1" applyProtection="1">
      <alignment horizontal="left"/>
      <protection locked="0"/>
    </xf>
    <xf numFmtId="164" fontId="0" fillId="0" borderId="1" xfId="0" applyNumberForma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3" fillId="0" borderId="0" xfId="0" applyFont="1"/>
    <xf numFmtId="3" fontId="0" fillId="0" borderId="2" xfId="0" applyNumberFormat="1" applyBorder="1" applyAlignment="1" applyProtection="1">
      <alignment horizontal="center"/>
      <protection locked="0"/>
    </xf>
    <xf numFmtId="3" fontId="0" fillId="0" borderId="5" xfId="0" applyNumberFormat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164" fontId="13" fillId="8" borderId="8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top" wrapText="1"/>
    </xf>
    <xf numFmtId="1" fontId="19" fillId="8" borderId="0" xfId="0" applyNumberFormat="1" applyFont="1" applyFill="1" applyAlignment="1">
      <alignment horizontal="center" vertical="top" wrapText="1"/>
    </xf>
    <xf numFmtId="164" fontId="0" fillId="0" borderId="1" xfId="0" applyNumberFormat="1" applyBorder="1"/>
    <xf numFmtId="164" fontId="13" fillId="0" borderId="1" xfId="0" applyNumberFormat="1" applyFont="1" applyBorder="1" applyAlignment="1">
      <alignment horizontal="center"/>
    </xf>
    <xf numFmtId="3" fontId="0" fillId="0" borderId="0" xfId="0" applyNumberFormat="1" applyProtection="1">
      <protection locked="0"/>
    </xf>
    <xf numFmtId="3" fontId="0" fillId="0" borderId="0" xfId="0" applyNumberFormat="1" applyAlignment="1" applyProtection="1">
      <alignment horizontal="right"/>
      <protection locked="0"/>
    </xf>
    <xf numFmtId="3" fontId="0" fillId="0" borderId="3" xfId="0" applyNumberFormat="1" applyBorder="1" applyAlignment="1" applyProtection="1">
      <alignment horizontal="center"/>
      <protection locked="0"/>
    </xf>
    <xf numFmtId="164" fontId="13" fillId="8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13" fillId="0" borderId="8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20" fillId="0" borderId="0" xfId="0" applyNumberFormat="1" applyFont="1" applyAlignment="1">
      <alignment horizontal="right" vertical="center"/>
    </xf>
    <xf numFmtId="164" fontId="13" fillId="7" borderId="8" xfId="0" applyNumberFormat="1" applyFont="1" applyFill="1" applyBorder="1" applyAlignment="1">
      <alignment horizontal="center" vertical="center" wrapText="1"/>
    </xf>
    <xf numFmtId="164" fontId="0" fillId="8" borderId="8" xfId="0" applyNumberFormat="1" applyFill="1" applyBorder="1" applyAlignment="1">
      <alignment horizontal="center"/>
    </xf>
    <xf numFmtId="164" fontId="13" fillId="7" borderId="1" xfId="0" applyNumberFormat="1" applyFont="1" applyFill="1" applyBorder="1" applyAlignment="1">
      <alignment horizontal="center"/>
    </xf>
    <xf numFmtId="0" fontId="14" fillId="0" borderId="0" xfId="0" applyFont="1" applyAlignment="1">
      <alignment horizontal="left" vertical="center"/>
    </xf>
    <xf numFmtId="164" fontId="0" fillId="3" borderId="15" xfId="0" applyNumberFormat="1" applyFill="1" applyBorder="1" applyAlignment="1" applyProtection="1">
      <alignment horizontal="center"/>
      <protection locked="0"/>
    </xf>
    <xf numFmtId="164" fontId="0" fillId="0" borderId="12" xfId="0" applyNumberFormat="1" applyBorder="1" applyAlignment="1">
      <alignment horizontal="center"/>
    </xf>
    <xf numFmtId="0" fontId="0" fillId="0" borderId="16" xfId="0" applyBorder="1"/>
    <xf numFmtId="0" fontId="14" fillId="5" borderId="0" xfId="0" applyFont="1" applyFill="1" applyAlignment="1">
      <alignment horizontal="left" vertical="center"/>
    </xf>
    <xf numFmtId="0" fontId="14" fillId="5" borderId="1" xfId="0" applyFont="1" applyFill="1" applyBorder="1" applyAlignment="1">
      <alignment horizontal="left" vertical="center"/>
    </xf>
    <xf numFmtId="164" fontId="21" fillId="0" borderId="17" xfId="0" applyNumberFormat="1" applyFont="1" applyBorder="1" applyAlignment="1" applyProtection="1">
      <alignment horizontal="center"/>
      <protection locked="0"/>
    </xf>
    <xf numFmtId="164" fontId="21" fillId="0" borderId="18" xfId="0" applyNumberFormat="1" applyFont="1" applyBorder="1" applyAlignment="1" applyProtection="1">
      <alignment horizontal="center"/>
      <protection locked="0"/>
    </xf>
    <xf numFmtId="0" fontId="14" fillId="5" borderId="6" xfId="0" applyFont="1" applyFill="1" applyBorder="1"/>
    <xf numFmtId="0" fontId="14" fillId="5" borderId="0" xfId="0" applyFont="1" applyFill="1"/>
    <xf numFmtId="164" fontId="14" fillId="5" borderId="19" xfId="0" applyNumberFormat="1" applyFont="1" applyFill="1" applyBorder="1" applyAlignment="1">
      <alignment horizontal="center"/>
    </xf>
    <xf numFmtId="0" fontId="14" fillId="5" borderId="19" xfId="0" applyFont="1" applyFill="1" applyBorder="1" applyAlignment="1">
      <alignment horizontal="center"/>
    </xf>
    <xf numFmtId="0" fontId="14" fillId="5" borderId="20" xfId="0" applyFont="1" applyFill="1" applyBorder="1" applyAlignment="1">
      <alignment horizontal="center"/>
    </xf>
    <xf numFmtId="0" fontId="0" fillId="0" borderId="21" xfId="0" applyBorder="1" applyAlignment="1">
      <alignment horizontal="right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3" xfId="0" applyFont="1" applyBorder="1" applyAlignment="1" applyProtection="1">
      <alignment horizontal="center"/>
      <protection locked="0"/>
    </xf>
    <xf numFmtId="0" fontId="6" fillId="0" borderId="24" xfId="0" applyFon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6" xfId="0" applyBorder="1" applyProtection="1">
      <protection locked="0"/>
    </xf>
    <xf numFmtId="0" fontId="0" fillId="0" borderId="1" xfId="0" applyBorder="1" applyAlignment="1">
      <alignment horizontal="left"/>
    </xf>
    <xf numFmtId="0" fontId="0" fillId="0" borderId="27" xfId="0" applyBorder="1"/>
    <xf numFmtId="0" fontId="0" fillId="0" borderId="2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5" borderId="6" xfId="0" applyFill="1" applyBorder="1"/>
    <xf numFmtId="0" fontId="0" fillId="5" borderId="31" xfId="0" applyFill="1" applyBorder="1" applyAlignment="1">
      <alignment horizontal="right"/>
    </xf>
    <xf numFmtId="0" fontId="0" fillId="5" borderId="32" xfId="0" applyFill="1" applyBorder="1" applyAlignment="1">
      <alignment horizontal="right"/>
    </xf>
    <xf numFmtId="164" fontId="0" fillId="5" borderId="33" xfId="0" applyNumberFormat="1" applyFill="1" applyBorder="1" applyAlignment="1">
      <alignment horizontal="center" vertical="center"/>
    </xf>
    <xf numFmtId="0" fontId="0" fillId="5" borderId="34" xfId="0" applyFill="1" applyBorder="1" applyAlignment="1">
      <alignment horizontal="right"/>
    </xf>
    <xf numFmtId="0" fontId="0" fillId="5" borderId="35" xfId="0" applyFill="1" applyBorder="1" applyAlignment="1">
      <alignment horizontal="right"/>
    </xf>
    <xf numFmtId="164" fontId="0" fillId="5" borderId="6" xfId="0" applyNumberForma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right"/>
    </xf>
    <xf numFmtId="164" fontId="2" fillId="5" borderId="19" xfId="0" applyNumberFormat="1" applyFont="1" applyFill="1" applyBorder="1" applyAlignment="1">
      <alignment horizontal="right"/>
    </xf>
    <xf numFmtId="164" fontId="2" fillId="5" borderId="20" xfId="0" applyNumberFormat="1" applyFont="1" applyFill="1" applyBorder="1" applyAlignment="1">
      <alignment horizontal="right"/>
    </xf>
    <xf numFmtId="164" fontId="2" fillId="5" borderId="7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64" fontId="13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left"/>
    </xf>
    <xf numFmtId="164" fontId="13" fillId="0" borderId="0" xfId="0" applyNumberFormat="1" applyFont="1" applyAlignment="1">
      <alignment horizontal="center" vertical="center"/>
    </xf>
    <xf numFmtId="0" fontId="14" fillId="4" borderId="6" xfId="0" applyFont="1" applyFill="1" applyBorder="1"/>
    <xf numFmtId="164" fontId="2" fillId="5" borderId="8" xfId="0" applyNumberFormat="1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14" fillId="0" borderId="6" xfId="0" applyFont="1" applyBorder="1"/>
    <xf numFmtId="3" fontId="0" fillId="0" borderId="6" xfId="0" applyNumberFormat="1" applyBorder="1" applyAlignment="1" applyProtection="1">
      <alignment horizontal="center" vertical="center"/>
      <protection locked="0"/>
    </xf>
    <xf numFmtId="164" fontId="0" fillId="0" borderId="17" xfId="0" applyNumberFormat="1" applyBorder="1" applyAlignment="1" applyProtection="1">
      <alignment horizontal="center"/>
      <protection locked="0"/>
    </xf>
    <xf numFmtId="164" fontId="0" fillId="0" borderId="18" xfId="0" applyNumberFormat="1" applyBorder="1" applyAlignment="1" applyProtection="1">
      <alignment horizontal="center"/>
      <protection locked="0"/>
    </xf>
    <xf numFmtId="0" fontId="0" fillId="0" borderId="36" xfId="0" applyBorder="1"/>
    <xf numFmtId="0" fontId="0" fillId="0" borderId="34" xfId="0" applyBorder="1"/>
    <xf numFmtId="0" fontId="0" fillId="0" borderId="34" xfId="0" applyBorder="1" applyAlignment="1">
      <alignment horizontal="left"/>
    </xf>
    <xf numFmtId="164" fontId="0" fillId="0" borderId="37" xfId="0" applyNumberFormat="1" applyBorder="1" applyAlignment="1" applyProtection="1">
      <alignment horizontal="center"/>
      <protection locked="0"/>
    </xf>
    <xf numFmtId="164" fontId="0" fillId="0" borderId="38" xfId="0" applyNumberFormat="1" applyBorder="1" applyAlignment="1" applyProtection="1">
      <alignment horizontal="center"/>
      <protection locked="0"/>
    </xf>
    <xf numFmtId="164" fontId="0" fillId="0" borderId="39" xfId="0" applyNumberFormat="1" applyBorder="1" applyAlignment="1">
      <alignment horizontal="center"/>
    </xf>
    <xf numFmtId="164" fontId="0" fillId="0" borderId="36" xfId="0" applyNumberFormat="1" applyBorder="1" applyAlignment="1" applyProtection="1">
      <alignment horizont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164" fontId="0" fillId="0" borderId="39" xfId="0" applyNumberFormat="1" applyBorder="1" applyAlignment="1">
      <alignment horizontal="center" vertical="center"/>
    </xf>
    <xf numFmtId="164" fontId="0" fillId="9" borderId="8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4" fillId="0" borderId="36" xfId="0" applyFont="1" applyBorder="1"/>
    <xf numFmtId="0" fontId="0" fillId="0" borderId="40" xfId="0" applyBorder="1" applyAlignment="1">
      <alignment horizontal="center"/>
    </xf>
    <xf numFmtId="0" fontId="0" fillId="0" borderId="41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164" fontId="0" fillId="0" borderId="39" xfId="0" applyNumberFormat="1" applyBorder="1" applyAlignment="1" applyProtection="1">
      <alignment horizontal="center"/>
      <protection locked="0"/>
    </xf>
    <xf numFmtId="164" fontId="0" fillId="7" borderId="6" xfId="0" applyNumberFormat="1" applyFill="1" applyBorder="1" applyAlignment="1">
      <alignment horizontal="center"/>
    </xf>
    <xf numFmtId="0" fontId="0" fillId="0" borderId="16" xfId="0" applyBorder="1" applyAlignment="1">
      <alignment horizontal="left"/>
    </xf>
    <xf numFmtId="164" fontId="0" fillId="0" borderId="42" xfId="0" applyNumberFormat="1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0" fillId="0" borderId="43" xfId="0" applyNumberFormat="1" applyBorder="1" applyAlignment="1" applyProtection="1">
      <alignment horizontal="center"/>
      <protection locked="0"/>
    </xf>
    <xf numFmtId="3" fontId="0" fillId="0" borderId="44" xfId="0" applyNumberFormat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/>
      <protection locked="0"/>
    </xf>
    <xf numFmtId="3" fontId="2" fillId="5" borderId="8" xfId="0" applyNumberFormat="1" applyFont="1" applyFill="1" applyBorder="1" applyAlignment="1" applyProtection="1">
      <alignment horizontal="center"/>
      <protection locked="0"/>
    </xf>
    <xf numFmtId="3" fontId="0" fillId="0" borderId="8" xfId="0" applyNumberFormat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>
      <alignment horizontal="center"/>
    </xf>
    <xf numFmtId="0" fontId="14" fillId="5" borderId="7" xfId="0" applyFont="1" applyFill="1" applyBorder="1"/>
    <xf numFmtId="0" fontId="14" fillId="5" borderId="19" xfId="0" applyFont="1" applyFill="1" applyBorder="1"/>
    <xf numFmtId="164" fontId="2" fillId="5" borderId="19" xfId="0" applyNumberFormat="1" applyFont="1" applyFill="1" applyBorder="1" applyAlignment="1">
      <alignment horizontal="center"/>
    </xf>
    <xf numFmtId="0" fontId="2" fillId="5" borderId="19" xfId="0" applyFont="1" applyFill="1" applyBorder="1" applyProtection="1">
      <protection locked="0"/>
    </xf>
    <xf numFmtId="3" fontId="2" fillId="5" borderId="19" xfId="0" applyNumberFormat="1" applyFont="1" applyFill="1" applyBorder="1" applyAlignment="1" applyProtection="1">
      <alignment horizontal="center"/>
      <protection locked="0"/>
    </xf>
    <xf numFmtId="0" fontId="2" fillId="5" borderId="20" xfId="0" applyFont="1" applyFill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45" xfId="0" applyBorder="1" applyAlignment="1" applyProtection="1">
      <alignment horizontal="left"/>
      <protection locked="0"/>
    </xf>
    <xf numFmtId="0" fontId="0" fillId="0" borderId="46" xfId="0" applyBorder="1" applyAlignment="1" applyProtection="1">
      <alignment horizontal="left"/>
      <protection locked="0"/>
    </xf>
    <xf numFmtId="164" fontId="0" fillId="0" borderId="47" xfId="0" applyNumberFormat="1" applyBorder="1" applyAlignment="1" applyProtection="1">
      <alignment horizontal="center"/>
      <protection locked="0"/>
    </xf>
    <xf numFmtId="3" fontId="0" fillId="0" borderId="47" xfId="0" applyNumberFormat="1" applyBorder="1" applyAlignment="1" applyProtection="1">
      <alignment horizontal="center" vertical="center"/>
      <protection locked="0"/>
    </xf>
    <xf numFmtId="164" fontId="0" fillId="0" borderId="47" xfId="0" applyNumberFormat="1" applyBorder="1" applyAlignment="1" applyProtection="1">
      <alignment horizontal="center" vertical="center"/>
      <protection locked="0"/>
    </xf>
    <xf numFmtId="0" fontId="0" fillId="5" borderId="48" xfId="0" applyFill="1" applyBorder="1"/>
    <xf numFmtId="0" fontId="2" fillId="5" borderId="49" xfId="0" applyFont="1" applyFill="1" applyBorder="1" applyAlignment="1">
      <alignment horizontal="right"/>
    </xf>
    <xf numFmtId="0" fontId="2" fillId="5" borderId="50" xfId="0" applyFont="1" applyFill="1" applyBorder="1" applyAlignment="1">
      <alignment horizontal="right"/>
    </xf>
    <xf numFmtId="164" fontId="2" fillId="5" borderId="6" xfId="0" applyNumberFormat="1" applyFont="1" applyFill="1" applyBorder="1" applyAlignment="1">
      <alignment horizontal="center" vertical="center"/>
    </xf>
    <xf numFmtId="164" fontId="2" fillId="0" borderId="7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left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0" fontId="22" fillId="10" borderId="3" xfId="0" applyFont="1" applyFill="1" applyBorder="1" applyAlignment="1">
      <alignment horizontal="center"/>
    </xf>
    <xf numFmtId="164" fontId="22" fillId="10" borderId="3" xfId="0" applyNumberFormat="1" applyFont="1" applyFill="1" applyBorder="1" applyAlignment="1">
      <alignment horizontal="center" vertical="center"/>
    </xf>
    <xf numFmtId="0" fontId="2" fillId="0" borderId="19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19" xfId="0" applyFont="1" applyBorder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0" fillId="6" borderId="7" xfId="0" applyFill="1" applyBorder="1" applyAlignment="1" applyProtection="1">
      <alignment horizontal="right"/>
      <protection locked="0"/>
    </xf>
    <xf numFmtId="0" fontId="0" fillId="6" borderId="19" xfId="0" applyFill="1" applyBorder="1" applyAlignment="1" applyProtection="1">
      <alignment horizontal="right"/>
      <protection locked="0"/>
    </xf>
    <xf numFmtId="0" fontId="0" fillId="6" borderId="20" xfId="0" applyFill="1" applyBorder="1" applyAlignment="1" applyProtection="1">
      <alignment horizontal="right"/>
      <protection locked="0"/>
    </xf>
    <xf numFmtId="166" fontId="0" fillId="6" borderId="7" xfId="0" applyNumberFormat="1" applyFill="1" applyBorder="1" applyAlignment="1" applyProtection="1">
      <alignment horizontal="right"/>
      <protection locked="0"/>
    </xf>
    <xf numFmtId="166" fontId="0" fillId="6" borderId="20" xfId="0" applyNumberFormat="1" applyFill="1" applyBorder="1" applyAlignment="1" applyProtection="1">
      <alignment horizontal="right"/>
      <protection locked="0"/>
    </xf>
    <xf numFmtId="166" fontId="0" fillId="0" borderId="0" xfId="0" applyNumberFormat="1" applyProtection="1">
      <protection locked="0"/>
    </xf>
    <xf numFmtId="164" fontId="0" fillId="11" borderId="7" xfId="0" applyNumberFormat="1" applyFill="1" applyBorder="1" applyAlignment="1" applyProtection="1">
      <alignment horizontal="center"/>
      <protection locked="0"/>
    </xf>
    <xf numFmtId="164" fontId="0" fillId="11" borderId="19" xfId="0" applyNumberFormat="1" applyFill="1" applyBorder="1" applyAlignment="1" applyProtection="1">
      <alignment horizontal="center"/>
      <protection locked="0"/>
    </xf>
    <xf numFmtId="164" fontId="0" fillId="11" borderId="20" xfId="0" applyNumberForma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6" borderId="7" xfId="0" applyFill="1" applyBorder="1" applyAlignment="1" applyProtection="1">
      <alignment horizontal="right" vertical="center" wrapText="1"/>
      <protection locked="0"/>
    </xf>
    <xf numFmtId="0" fontId="0" fillId="6" borderId="19" xfId="0" applyFill="1" applyBorder="1" applyAlignment="1" applyProtection="1">
      <alignment horizontal="right" vertical="center" wrapText="1"/>
      <protection locked="0"/>
    </xf>
    <xf numFmtId="0" fontId="0" fillId="6" borderId="20" xfId="0" applyFill="1" applyBorder="1" applyAlignment="1" applyProtection="1">
      <alignment horizontal="right" vertical="center" wrapText="1"/>
      <protection locked="0"/>
    </xf>
    <xf numFmtId="0" fontId="0" fillId="6" borderId="7" xfId="0" applyFill="1" applyBorder="1" applyAlignment="1" applyProtection="1">
      <alignment horizontal="center"/>
      <protection locked="0"/>
    </xf>
    <xf numFmtId="0" fontId="0" fillId="6" borderId="20" xfId="0" applyFill="1" applyBorder="1" applyAlignment="1" applyProtection="1">
      <alignment horizontal="center"/>
      <protection locked="0"/>
    </xf>
    <xf numFmtId="164" fontId="0" fillId="11" borderId="7" xfId="0" applyNumberFormat="1" applyFill="1" applyBorder="1" applyProtection="1">
      <protection locked="0"/>
    </xf>
    <xf numFmtId="164" fontId="0" fillId="11" borderId="19" xfId="0" applyNumberFormat="1" applyFill="1" applyBorder="1" applyProtection="1">
      <protection locked="0"/>
    </xf>
    <xf numFmtId="164" fontId="0" fillId="11" borderId="20" xfId="0" applyNumberFormat="1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6" borderId="6" xfId="0" applyFill="1" applyBorder="1" applyAlignment="1" applyProtection="1">
      <alignment vertical="center" wrapText="1"/>
      <protection locked="0"/>
    </xf>
    <xf numFmtId="0" fontId="0" fillId="6" borderId="0" xfId="0" applyFill="1" applyAlignment="1" applyProtection="1">
      <alignment vertical="center" wrapText="1"/>
      <protection locked="0"/>
    </xf>
    <xf numFmtId="0" fontId="0" fillId="6" borderId="1" xfId="0" applyFill="1" applyBorder="1" applyAlignment="1" applyProtection="1">
      <alignment vertical="center" wrapText="1"/>
      <protection locked="0"/>
    </xf>
    <xf numFmtId="0" fontId="0" fillId="6" borderId="6" xfId="0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164" fontId="0" fillId="11" borderId="6" xfId="0" applyNumberFormat="1" applyFill="1" applyBorder="1" applyProtection="1">
      <protection locked="0"/>
    </xf>
    <xf numFmtId="164" fontId="0" fillId="11" borderId="0" xfId="0" applyNumberFormat="1" applyFill="1" applyProtection="1">
      <protection locked="0"/>
    </xf>
    <xf numFmtId="164" fontId="0" fillId="11" borderId="1" xfId="0" applyNumberFormat="1" applyFill="1" applyBorder="1" applyProtection="1">
      <protection locked="0"/>
    </xf>
    <xf numFmtId="0" fontId="0" fillId="6" borderId="36" xfId="0" applyFill="1" applyBorder="1" applyAlignment="1" applyProtection="1">
      <alignment vertical="center" wrapText="1"/>
      <protection locked="0"/>
    </xf>
    <xf numFmtId="0" fontId="0" fillId="6" borderId="34" xfId="0" applyFill="1" applyBorder="1" applyAlignment="1" applyProtection="1">
      <alignment vertical="center" wrapText="1"/>
      <protection locked="0"/>
    </xf>
    <xf numFmtId="0" fontId="0" fillId="6" borderId="35" xfId="0" applyFill="1" applyBorder="1" applyAlignment="1" applyProtection="1">
      <alignment vertical="center" wrapText="1"/>
      <protection locked="0"/>
    </xf>
    <xf numFmtId="0" fontId="0" fillId="6" borderId="36" xfId="0" applyFill="1" applyBorder="1" applyAlignment="1" applyProtection="1">
      <alignment horizontal="center"/>
      <protection locked="0"/>
    </xf>
    <xf numFmtId="0" fontId="0" fillId="6" borderId="35" xfId="0" applyFill="1" applyBorder="1" applyAlignment="1" applyProtection="1">
      <alignment horizontal="center"/>
      <protection locked="0"/>
    </xf>
    <xf numFmtId="164" fontId="0" fillId="11" borderId="36" xfId="0" applyNumberFormat="1" applyFill="1" applyBorder="1" applyProtection="1">
      <protection locked="0"/>
    </xf>
    <xf numFmtId="164" fontId="0" fillId="11" borderId="34" xfId="0" applyNumberFormat="1" applyFill="1" applyBorder="1" applyProtection="1">
      <protection locked="0"/>
    </xf>
    <xf numFmtId="164" fontId="0" fillId="11" borderId="35" xfId="0" applyNumberFormat="1" applyFill="1" applyBorder="1" applyProtection="1">
      <protection locked="0"/>
    </xf>
    <xf numFmtId="164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24" fillId="12" borderId="4" xfId="0" applyFont="1" applyFill="1" applyBorder="1" applyAlignment="1">
      <alignment horizontal="center" vertical="center"/>
    </xf>
    <xf numFmtId="0" fontId="6" fillId="0" borderId="19" xfId="0" applyFont="1" applyBorder="1"/>
    <xf numFmtId="0" fontId="6" fillId="0" borderId="4" xfId="0" applyFont="1" applyBorder="1" applyAlignment="1">
      <alignment horizontal="center"/>
    </xf>
    <xf numFmtId="0" fontId="6" fillId="0" borderId="2" xfId="0" applyFont="1" applyBorder="1"/>
    <xf numFmtId="164" fontId="6" fillId="0" borderId="5" xfId="0" applyNumberFormat="1" applyFont="1" applyBorder="1"/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4" fillId="12" borderId="8" xfId="0" applyFont="1" applyFill="1" applyBorder="1" applyAlignment="1">
      <alignment horizontal="center" vertical="center"/>
    </xf>
    <xf numFmtId="0" fontId="6" fillId="0" borderId="51" xfId="0" applyFont="1" applyBorder="1"/>
    <xf numFmtId="0" fontId="6" fillId="0" borderId="3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64" fontId="0" fillId="0" borderId="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24" fillId="12" borderId="39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left" vertical="center"/>
    </xf>
    <xf numFmtId="164" fontId="0" fillId="0" borderId="35" xfId="0" applyNumberFormat="1" applyBorder="1"/>
    <xf numFmtId="0" fontId="25" fillId="12" borderId="4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164" fontId="0" fillId="0" borderId="51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 vertical="center"/>
    </xf>
    <xf numFmtId="0" fontId="25" fillId="12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4" xfId="0" applyFont="1" applyBorder="1" applyAlignment="1">
      <alignment horizontal="left"/>
    </xf>
    <xf numFmtId="0" fontId="6" fillId="0" borderId="51" xfId="0" applyFont="1" applyBorder="1" applyAlignment="1">
      <alignment horizontal="left"/>
    </xf>
    <xf numFmtId="0" fontId="6" fillId="0" borderId="34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/>
    </xf>
    <xf numFmtId="164" fontId="6" fillId="0" borderId="51" xfId="0" applyNumberFormat="1" applyFont="1" applyBorder="1"/>
    <xf numFmtId="0" fontId="25" fillId="12" borderId="39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51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34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34" xfId="0" applyFont="1" applyBorder="1" applyAlignment="1">
      <alignment horizontal="center" vertical="center" wrapText="1"/>
    </xf>
    <xf numFmtId="164" fontId="0" fillId="0" borderId="51" xfId="0" applyNumberFormat="1" applyBorder="1" applyAlignment="1">
      <alignment horizontal="left"/>
    </xf>
    <xf numFmtId="164" fontId="0" fillId="0" borderId="19" xfId="0" applyNumberFormat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0" borderId="51" xfId="0" applyBorder="1" applyAlignment="1">
      <alignment horizontal="center"/>
    </xf>
    <xf numFmtId="0" fontId="3" fillId="12" borderId="8" xfId="0" applyFont="1" applyFill="1" applyBorder="1" applyAlignment="1">
      <alignment horizontal="center" vertical="center" wrapText="1"/>
    </xf>
    <xf numFmtId="164" fontId="0" fillId="0" borderId="34" xfId="0" applyNumberFormat="1" applyBorder="1" applyAlignment="1">
      <alignment horizontal="center"/>
    </xf>
    <xf numFmtId="0" fontId="0" fillId="0" borderId="51" xfId="0" applyBorder="1"/>
    <xf numFmtId="0" fontId="6" fillId="13" borderId="19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6" fillId="13" borderId="19" xfId="0" applyFont="1" applyFill="1" applyBorder="1" applyAlignment="1">
      <alignment horizontal="center" vertical="center" wrapText="1"/>
    </xf>
    <xf numFmtId="0" fontId="6" fillId="13" borderId="0" xfId="0" applyFont="1" applyFill="1" applyAlignment="1">
      <alignment horizontal="center" vertical="center" wrapText="1"/>
    </xf>
    <xf numFmtId="0" fontId="6" fillId="0" borderId="5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51" xfId="0" applyFont="1" applyBorder="1" applyAlignment="1">
      <alignment horizontal="left" vertical="center"/>
    </xf>
    <xf numFmtId="0" fontId="6" fillId="14" borderId="0" xfId="0" applyFont="1" applyFill="1" applyAlignment="1">
      <alignment vertical="center" wrapText="1"/>
    </xf>
    <xf numFmtId="0" fontId="6" fillId="13" borderId="34" xfId="0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vertical="center" wrapText="1"/>
    </xf>
    <xf numFmtId="0" fontId="6" fillId="0" borderId="51" xfId="0" applyFont="1" applyBorder="1" applyAlignment="1">
      <alignment vertical="center" wrapText="1"/>
    </xf>
    <xf numFmtId="164" fontId="6" fillId="0" borderId="51" xfId="0" applyNumberFormat="1" applyFont="1" applyBorder="1" applyAlignment="1">
      <alignment vertical="center" wrapText="1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2" borderId="3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left"/>
    </xf>
    <xf numFmtId="0" fontId="0" fillId="0" borderId="19" xfId="0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7" xfId="0" applyFill="1" applyBorder="1" applyAlignment="1" applyProtection="1">
      <alignment horizontal="center"/>
      <protection locked="0"/>
    </xf>
    <xf numFmtId="0" fontId="0" fillId="3" borderId="19" xfId="0" applyFill="1" applyBorder="1" applyAlignment="1" applyProtection="1">
      <alignment horizontal="center"/>
      <protection locked="0"/>
    </xf>
    <xf numFmtId="164" fontId="0" fillId="0" borderId="8" xfId="0" applyNumberFormat="1" applyBorder="1" applyAlignment="1">
      <alignment horizontal="center" vertical="center" wrapText="1"/>
    </xf>
    <xf numFmtId="164" fontId="0" fillId="0" borderId="39" xfId="0" applyNumberFormat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left" vertical="center"/>
    </xf>
    <xf numFmtId="0" fontId="0" fillId="3" borderId="16" xfId="0" applyFill="1" applyBorder="1" applyAlignment="1" applyProtection="1">
      <alignment horizontal="center"/>
      <protection locked="0"/>
    </xf>
    <xf numFmtId="0" fontId="0" fillId="0" borderId="52" xfId="0" applyBorder="1"/>
    <xf numFmtId="0" fontId="6" fillId="0" borderId="0" xfId="0" applyFont="1" applyAlignment="1" applyProtection="1">
      <alignment horizontal="center"/>
      <protection locked="0"/>
    </xf>
    <xf numFmtId="0" fontId="21" fillId="0" borderId="0" xfId="0" applyFont="1" applyAlignment="1">
      <alignment horizontal="right"/>
    </xf>
    <xf numFmtId="164" fontId="13" fillId="0" borderId="1" xfId="0" applyNumberFormat="1" applyFont="1" applyBorder="1" applyAlignment="1">
      <alignment horizontal="center" vertical="center" wrapText="1"/>
    </xf>
    <xf numFmtId="1" fontId="19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0" xfId="0" applyFont="1"/>
    <xf numFmtId="164" fontId="13" fillId="3" borderId="15" xfId="0" applyNumberFormat="1" applyFont="1" applyFill="1" applyBorder="1" applyAlignment="1" applyProtection="1">
      <alignment horizontal="center"/>
      <protection locked="0"/>
    </xf>
    <xf numFmtId="164" fontId="0" fillId="0" borderId="1" xfId="0" applyNumberFormat="1" applyBorder="1" applyAlignment="1">
      <alignment horizontal="center" vertical="center"/>
    </xf>
    <xf numFmtId="0" fontId="13" fillId="0" borderId="16" xfId="0" applyFont="1" applyBorder="1"/>
    <xf numFmtId="0" fontId="1" fillId="0" borderId="16" xfId="0" applyFont="1" applyBorder="1" applyAlignment="1">
      <alignment horizontal="left"/>
    </xf>
    <xf numFmtId="0" fontId="1" fillId="0" borderId="16" xfId="0" applyFont="1" applyBorder="1"/>
    <xf numFmtId="164" fontId="1" fillId="0" borderId="16" xfId="0" applyNumberFormat="1" applyFont="1" applyBorder="1" applyAlignment="1">
      <alignment horizontal="center"/>
    </xf>
    <xf numFmtId="3" fontId="2" fillId="5" borderId="8" xfId="0" applyNumberFormat="1" applyFont="1" applyFill="1" applyBorder="1" applyAlignment="1">
      <alignment horizontal="center"/>
    </xf>
    <xf numFmtId="0" fontId="2" fillId="5" borderId="19" xfId="0" applyFont="1" applyFill="1" applyBorder="1"/>
    <xf numFmtId="3" fontId="2" fillId="5" borderId="19" xfId="0" applyNumberFormat="1" applyFont="1" applyFill="1" applyBorder="1" applyAlignment="1">
      <alignment horizontal="center"/>
    </xf>
    <xf numFmtId="164" fontId="0" fillId="0" borderId="34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5"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</dxfs>
  <tableStyles count="1" defaultTableStyle="TableStyleMedium2" defaultPivotStyle="PivotStyleLight16">
    <tableStyle name="Invisible" pivot="0" table="0" count="0" xr9:uid="{ACF89758-0E92-4307-AEBB-5A4A066CA4C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is%202023%20-%2022%2006%2022%20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Victoria"/>
      <sheetName val="Morea"/>
      <sheetName val="Nature"/>
      <sheetName val="Liberty old"/>
      <sheetName val="base options off"/>
      <sheetName val="traductions"/>
      <sheetName val="Columbia"/>
      <sheetName val="NSV"/>
      <sheetName val="Tarifs"/>
      <sheetName val="Toronto"/>
      <sheetName val="Kingston 35"/>
      <sheetName val="Kingston 40"/>
      <sheetName val="Portland 3CH"/>
      <sheetName val="Portland 2CH"/>
      <sheetName val="Ottawa"/>
      <sheetName val="Liberty"/>
      <sheetName val="MM Coloc"/>
      <sheetName val="Tiny Home"/>
      <sheetName val="Gitane 7.2"/>
      <sheetName val="Roulotte"/>
      <sheetName val="Tiny roulotte"/>
      <sheetName val="Synthese"/>
      <sheetName val="Inspiration"/>
      <sheetName val="v"/>
      <sheetName val="cr option Morea (2)"/>
      <sheetName val="cr option Morea"/>
      <sheetName val="cout panneaux PU"/>
      <sheetName val="anticipation hausses 2023"/>
      <sheetName val="Feuil1"/>
    </sheetNames>
    <sheetDataSet>
      <sheetData sheetId="0">
        <row r="4">
          <cell r="M4" t="str">
            <v>Commerciaux</v>
          </cell>
        </row>
      </sheetData>
      <sheetData sheetId="1"/>
      <sheetData sheetId="2">
        <row r="35">
          <cell r="H35">
            <v>65</v>
          </cell>
        </row>
        <row r="36">
          <cell r="H36">
            <v>283</v>
          </cell>
        </row>
        <row r="39">
          <cell r="E39">
            <v>578.55000000000007</v>
          </cell>
        </row>
        <row r="40">
          <cell r="E40">
            <v>578.55000000000007</v>
          </cell>
        </row>
        <row r="41">
          <cell r="E41">
            <v>578.55000000000007</v>
          </cell>
        </row>
        <row r="42">
          <cell r="H42">
            <v>443</v>
          </cell>
        </row>
        <row r="43">
          <cell r="H43">
            <v>54</v>
          </cell>
        </row>
        <row r="48">
          <cell r="H48">
            <v>205</v>
          </cell>
        </row>
        <row r="49">
          <cell r="H49">
            <v>295</v>
          </cell>
        </row>
        <row r="50">
          <cell r="H50">
            <v>514</v>
          </cell>
        </row>
        <row r="53">
          <cell r="H53">
            <v>200</v>
          </cell>
        </row>
        <row r="54">
          <cell r="H54">
            <v>117</v>
          </cell>
        </row>
        <row r="55">
          <cell r="H55">
            <v>414</v>
          </cell>
        </row>
        <row r="57">
          <cell r="H57">
            <v>186</v>
          </cell>
        </row>
        <row r="58">
          <cell r="H58">
            <v>177</v>
          </cell>
        </row>
        <row r="59">
          <cell r="H59">
            <v>-66</v>
          </cell>
        </row>
        <row r="61">
          <cell r="H61">
            <v>345</v>
          </cell>
        </row>
        <row r="65">
          <cell r="H65">
            <v>102</v>
          </cell>
        </row>
        <row r="66">
          <cell r="H66">
            <v>349</v>
          </cell>
        </row>
        <row r="67">
          <cell r="H67">
            <v>360</v>
          </cell>
        </row>
        <row r="68">
          <cell r="H68">
            <v>80</v>
          </cell>
        </row>
        <row r="71">
          <cell r="H71">
            <v>478</v>
          </cell>
        </row>
        <row r="74">
          <cell r="H74">
            <v>562</v>
          </cell>
        </row>
        <row r="80">
          <cell r="H80">
            <v>224</v>
          </cell>
        </row>
        <row r="81">
          <cell r="H81">
            <v>186</v>
          </cell>
        </row>
        <row r="87">
          <cell r="H87">
            <v>274</v>
          </cell>
        </row>
        <row r="88">
          <cell r="H88">
            <v>48</v>
          </cell>
        </row>
        <row r="103">
          <cell r="H103">
            <v>204.61538461538461</v>
          </cell>
        </row>
        <row r="107">
          <cell r="H107">
            <v>20</v>
          </cell>
        </row>
        <row r="108">
          <cell r="H108" t="str">
            <v>Non dispo</v>
          </cell>
        </row>
        <row r="109">
          <cell r="H109" t="str">
            <v>Non dispo</v>
          </cell>
        </row>
        <row r="132">
          <cell r="G132" t="str">
            <v>Puissance élec mini hors options</v>
          </cell>
        </row>
      </sheetData>
      <sheetData sheetId="3"/>
      <sheetData sheetId="4"/>
      <sheetData sheetId="5">
        <row r="85">
          <cell r="E85" t="str">
            <v xml:space="preserve">Huttopia Camping </v>
          </cell>
        </row>
        <row r="86">
          <cell r="E86" t="str">
            <v xml:space="preserve">Huttopia Citykamp </v>
          </cell>
        </row>
        <row r="107">
          <cell r="C107" t="str">
            <v>2 feux induction</v>
          </cell>
          <cell r="D107">
            <v>220</v>
          </cell>
        </row>
        <row r="108">
          <cell r="C108" t="str">
            <v>4 feux induction</v>
          </cell>
          <cell r="D108">
            <v>298.46153846153845</v>
          </cell>
        </row>
      </sheetData>
      <sheetData sheetId="6"/>
      <sheetData sheetId="7"/>
      <sheetData sheetId="8"/>
      <sheetData sheetId="9">
        <row r="5">
          <cell r="N5">
            <v>1977</v>
          </cell>
          <cell r="R5">
            <v>516.92307692307691</v>
          </cell>
          <cell r="AA5">
            <v>1826.1538461538462</v>
          </cell>
          <cell r="AB5">
            <v>2163.0769230769229</v>
          </cell>
          <cell r="AR5">
            <v>416.92307692307691</v>
          </cell>
          <cell r="AS5">
            <v>618.46153846153845</v>
          </cell>
          <cell r="AY5">
            <v>217.92923076923077</v>
          </cell>
          <cell r="BC5">
            <v>1015.3846153846154</v>
          </cell>
          <cell r="BF5">
            <v>955.07692307692298</v>
          </cell>
          <cell r="BI5">
            <v>962.46153846153845</v>
          </cell>
          <cell r="BL5">
            <v>95</v>
          </cell>
          <cell r="BN5">
            <v>94</v>
          </cell>
          <cell r="BO5">
            <v>69</v>
          </cell>
          <cell r="BQ5">
            <v>936.27692307692303</v>
          </cell>
          <cell r="BR5">
            <v>1131.3346153846155</v>
          </cell>
          <cell r="BX5">
            <v>1127.4184615384615</v>
          </cell>
          <cell r="CD5">
            <v>1714.2602769230768</v>
          </cell>
          <cell r="CI5">
            <v>3924.6153846153843</v>
          </cell>
          <cell r="CL5">
            <v>252</v>
          </cell>
          <cell r="CR5">
            <v>767.69230769230762</v>
          </cell>
          <cell r="CW5">
            <v>867.69230769230762</v>
          </cell>
          <cell r="DE5">
            <v>1186.1538461538462</v>
          </cell>
          <cell r="DH5">
            <v>3255.0210000000002</v>
          </cell>
          <cell r="DO5">
            <v>2263.1538461538462</v>
          </cell>
          <cell r="DR5">
            <v>4084.144615384615</v>
          </cell>
          <cell r="DU5">
            <v>4994.6399999999994</v>
          </cell>
          <cell r="EA5">
            <v>-249.6307692307692</v>
          </cell>
        </row>
        <row r="6">
          <cell r="N6">
            <v>2497</v>
          </cell>
          <cell r="R6">
            <v>516.92307692307691</v>
          </cell>
          <cell r="AA6">
            <v>2010.7692307692307</v>
          </cell>
          <cell r="AB6">
            <v>2307.6923076923076</v>
          </cell>
          <cell r="AG6">
            <v>812.30769230769226</v>
          </cell>
          <cell r="AK6">
            <v>776.92307692307691</v>
          </cell>
          <cell r="AR6">
            <v>416.92307692307691</v>
          </cell>
          <cell r="AS6">
            <v>635.38461538461536</v>
          </cell>
          <cell r="AY6">
            <v>226.46769230769232</v>
          </cell>
          <cell r="BC6">
            <v>1269.2307692307693</v>
          </cell>
          <cell r="BF6">
            <v>1193.8461538461538</v>
          </cell>
          <cell r="BI6">
            <v>1203.0769230769231</v>
          </cell>
          <cell r="BL6">
            <v>95</v>
          </cell>
          <cell r="BQ6">
            <v>1127.9423076923078</v>
          </cell>
          <cell r="BR6">
            <v>1289.0769230769233</v>
          </cell>
          <cell r="BX6">
            <v>1256.4861538461539</v>
          </cell>
          <cell r="CD6">
            <v>1911.1539076923077</v>
          </cell>
          <cell r="CI6">
            <v>3924.6153846153843</v>
          </cell>
          <cell r="CL6">
            <v>252</v>
          </cell>
          <cell r="CR6">
            <v>733.84615384615381</v>
          </cell>
          <cell r="CW6">
            <v>790.76923076923072</v>
          </cell>
          <cell r="DE6">
            <v>1090.7692307692307</v>
          </cell>
          <cell r="DH6">
            <v>3255.0210000000002</v>
          </cell>
          <cell r="DO6">
            <v>2492</v>
          </cell>
          <cell r="DR6">
            <v>4312.9907692307688</v>
          </cell>
          <cell r="DU6">
            <v>5223.4861538461528</v>
          </cell>
          <cell r="EA6">
            <v>-583.76923076923072</v>
          </cell>
        </row>
        <row r="7">
          <cell r="BN7">
            <v>128</v>
          </cell>
          <cell r="BO7">
            <v>94</v>
          </cell>
        </row>
        <row r="27">
          <cell r="C27">
            <v>402</v>
          </cell>
        </row>
        <row r="31">
          <cell r="B31" t="str">
            <v>6 personnes - vaisselle blanche</v>
          </cell>
          <cell r="C31">
            <v>249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6">
          <cell r="I6" t="str">
            <v>Non</v>
          </cell>
        </row>
      </sheetData>
      <sheetData sheetId="23"/>
      <sheetData sheetId="24">
        <row r="25">
          <cell r="B25" t="str">
            <v>6 personnes - vaisselle blanche</v>
          </cell>
        </row>
      </sheetData>
      <sheetData sheetId="25"/>
      <sheetData sheetId="26"/>
      <sheetData sheetId="27"/>
      <sheetData sheetId="28"/>
      <sheetData sheetId="2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7DD1A6-91CA-4D9F-BF59-CFF01F2EBB58}" name="Tableau2" displayName="Tableau2" ref="A1:D218" totalsRowShown="0">
  <autoFilter ref="A1:D218" xr:uid="{1C7DD1A6-91CA-4D9F-BF59-CFF01F2EBB58}"/>
  <tableColumns count="4">
    <tableColumn id="6" xr3:uid="{5FDE8697-EF0D-4906-8A01-ABFA29FAF624}" name="ID"/>
    <tableColumn id="1" xr3:uid="{311AB28F-D51A-4D58-90D0-E712E5E6FE89}" name="Français"/>
    <tableColumn id="2" xr3:uid="{AB7623F8-C882-47FA-8ABF-7404BB7C5A1A}" name="Español"/>
    <tableColumn id="3" xr3:uid="{CA95EA80-9081-44EE-94DB-69D432BEE51C}" name="Itali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C1AE2-4B20-4643-B545-5A575BC9BB16}">
  <dimension ref="A1:N192"/>
  <sheetViews>
    <sheetView tabSelected="1" workbookViewId="0">
      <selection activeCell="E16" sqref="E16:G16"/>
    </sheetView>
  </sheetViews>
  <sheetFormatPr baseColWidth="10" defaultColWidth="11.42578125" defaultRowHeight="15" outlineLevelRow="1" x14ac:dyDescent="0.25"/>
  <cols>
    <col min="1" max="1" width="1.140625" customWidth="1"/>
    <col min="2" max="2" width="14.42578125" customWidth="1"/>
    <col min="3" max="3" width="3.28515625" style="24" customWidth="1"/>
    <col min="4" max="4" width="19.7109375" customWidth="1"/>
    <col min="5" max="5" width="19.28515625" customWidth="1"/>
    <col min="6" max="6" width="3.42578125" style="2" customWidth="1"/>
    <col min="7" max="7" width="16.7109375" style="2" customWidth="1"/>
    <col min="8" max="8" width="11.140625" style="31" customWidth="1"/>
    <col min="9" max="9" width="6.42578125" style="31" customWidth="1"/>
    <col min="10" max="10" width="10" style="4" customWidth="1"/>
    <col min="11" max="11" width="13.7109375" style="4" customWidth="1"/>
    <col min="14" max="14" width="14.42578125" bestFit="1" customWidth="1"/>
  </cols>
  <sheetData>
    <row r="1" spans="1:11" ht="25.15" customHeight="1" x14ac:dyDescent="0.25">
      <c r="A1" s="1"/>
      <c r="B1" s="1"/>
      <c r="C1" s="1"/>
      <c r="E1" s="2"/>
      <c r="H1" s="3"/>
      <c r="I1" s="3"/>
      <c r="J1" s="3"/>
    </row>
    <row r="2" spans="1:11" ht="15" customHeight="1" outlineLevel="1" x14ac:dyDescent="0.25">
      <c r="A2" s="5"/>
      <c r="B2" s="6" t="s">
        <v>1</v>
      </c>
      <c r="C2" s="7" t="s">
        <v>2</v>
      </c>
      <c r="D2" s="5" t="str">
        <f>IF([1]Synthese!$C$6&lt;&gt;"",[1]Synthese!$C$6,"")</f>
        <v/>
      </c>
      <c r="E2" s="5"/>
      <c r="F2" s="8"/>
      <c r="G2" s="5" t="s">
        <v>3</v>
      </c>
      <c r="H2" s="9" t="str">
        <f>IF([1]Synthese!I6=0," ",[1]Synthese!I6)</f>
        <v>Non</v>
      </c>
      <c r="I2" s="10" t="str">
        <f>IF([1]Synthese!J6=0," ",[1]Synthese!J6)</f>
        <v xml:space="preserve"> </v>
      </c>
      <c r="J2" s="10"/>
      <c r="K2" s="10"/>
    </row>
    <row r="3" spans="1:11" ht="15" customHeight="1" outlineLevel="1" x14ac:dyDescent="0.25">
      <c r="A3" s="11"/>
      <c r="B3" s="12" t="s">
        <v>4</v>
      </c>
      <c r="C3" s="13" t="s">
        <v>5</v>
      </c>
      <c r="D3" s="14" t="str">
        <f>IF([1]Synthese!$C$7&lt;&gt;"",[1]Synthese!$C$7,"")</f>
        <v/>
      </c>
      <c r="E3" s="5"/>
      <c r="F3" s="5"/>
      <c r="G3" s="5"/>
      <c r="H3" s="9" t="str">
        <f>IF([1]Synthese!$I$7&lt;&gt;"",[1]Synthese!$I$7,"")</f>
        <v/>
      </c>
      <c r="I3" s="5"/>
      <c r="J3" s="15"/>
      <c r="K3" s="15"/>
    </row>
    <row r="4" spans="1:11" ht="15" customHeight="1" outlineLevel="1" x14ac:dyDescent="0.25">
      <c r="A4" s="11"/>
      <c r="B4" s="16"/>
      <c r="C4" s="17" t="s">
        <v>6</v>
      </c>
      <c r="D4" s="5" t="str">
        <f>IF([1]Synthese!$C$8&lt;&gt;"",[1]Synthese!$C$8,"")</f>
        <v/>
      </c>
      <c r="E4" s="18"/>
      <c r="F4" s="18"/>
      <c r="G4" s="18"/>
      <c r="H4" s="19"/>
      <c r="I4" s="20"/>
      <c r="J4" s="21"/>
      <c r="K4" s="15"/>
    </row>
    <row r="5" spans="1:11" ht="7.5" customHeight="1" outlineLevel="1" x14ac:dyDescent="0.25">
      <c r="A5" s="1"/>
      <c r="B5" s="22"/>
      <c r="C5" s="23"/>
      <c r="E5" s="24"/>
      <c r="F5" s="24"/>
      <c r="G5" s="24"/>
      <c r="H5" s="25"/>
      <c r="I5" s="24"/>
      <c r="J5" s="24"/>
      <c r="K5" s="26"/>
    </row>
    <row r="6" spans="1:11" ht="15" customHeight="1" outlineLevel="1" x14ac:dyDescent="0.25">
      <c r="A6" s="5"/>
      <c r="B6" s="27" t="s">
        <v>7</v>
      </c>
      <c r="C6" s="7" t="s">
        <v>2</v>
      </c>
      <c r="D6" s="5" t="str">
        <f>IF([1]Synthese!$C$10&lt;&gt;"",[1]Synthese!$C$10,"")</f>
        <v/>
      </c>
      <c r="E6" s="5"/>
      <c r="F6" s="28" t="s">
        <v>8</v>
      </c>
      <c r="G6" s="29" t="str">
        <f>IF([1]Synthese!$G$10&lt;&gt;"",[1]Synthese!$G$10,"")</f>
        <v/>
      </c>
      <c r="H6" s="29"/>
      <c r="I6" s="29"/>
      <c r="J6" s="29"/>
      <c r="K6" s="29"/>
    </row>
    <row r="7" spans="1:11" ht="15" customHeight="1" outlineLevel="1" x14ac:dyDescent="0.25">
      <c r="A7" s="8"/>
      <c r="B7" s="27"/>
      <c r="C7" s="13" t="s">
        <v>5</v>
      </c>
      <c r="D7" s="14" t="str">
        <f>IF([1]Synthese!$C$11&lt;&gt;"",[1]Synthese!$C$11,"")</f>
        <v/>
      </c>
      <c r="E7" s="5"/>
      <c r="F7" s="5"/>
      <c r="G7" s="29" t="str">
        <f>IF([1]Synthese!$G$11&lt;&gt;"",[1]Synthese!$G$11,"")</f>
        <v/>
      </c>
      <c r="H7" s="29"/>
      <c r="I7" s="5" t="s">
        <v>9</v>
      </c>
      <c r="J7" s="20" t="str">
        <f>IF([1]Synthese!$K$11&lt;&gt;"",[1]Synthese!$K$11,"")</f>
        <v/>
      </c>
      <c r="K7" s="15"/>
    </row>
    <row r="8" spans="1:11" ht="15" customHeight="1" outlineLevel="1" x14ac:dyDescent="0.25">
      <c r="A8" s="8"/>
      <c r="B8" s="27"/>
      <c r="C8" s="17" t="s">
        <v>6</v>
      </c>
      <c r="D8" s="5" t="str">
        <f>IF([1]Synthese!$C$12&lt;&gt;"",[1]Synthese!$C$12,"")</f>
        <v/>
      </c>
      <c r="E8" s="5"/>
      <c r="F8" s="5"/>
      <c r="G8" s="5" t="s">
        <v>10</v>
      </c>
      <c r="H8" s="9" t="str">
        <f>IF([1]Synthese!$H$12&lt;&gt;"",[1]Synthese!$H$12,"")</f>
        <v/>
      </c>
      <c r="I8" s="5" t="s">
        <v>11</v>
      </c>
      <c r="J8" s="29" t="str">
        <f>IF([1]Synthese!$K$12&lt;&gt;"",[1]Synthese!$K$12,"")</f>
        <v/>
      </c>
      <c r="K8" s="29"/>
    </row>
    <row r="9" spans="1:11" ht="7.9" customHeight="1" outlineLevel="1" x14ac:dyDescent="0.25">
      <c r="A9" s="2"/>
      <c r="B9" s="2"/>
      <c r="C9" s="30"/>
      <c r="D9" s="30"/>
      <c r="E9" s="30"/>
    </row>
    <row r="10" spans="1:11" ht="20.45" customHeight="1" outlineLevel="1" x14ac:dyDescent="0.25">
      <c r="A10" s="32" t="str">
        <f>IF([1]Garde!$M$4="Accusé réception de commande","ACCUSE RECEPTION DE COMMANDE","DEVIS")</f>
        <v>DEVIS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15" customHeight="1" outlineLevel="1" x14ac:dyDescent="0.25">
      <c r="A11" s="33" t="s">
        <v>12</v>
      </c>
      <c r="B11" s="33"/>
      <c r="C11" s="33" t="s">
        <v>231</v>
      </c>
      <c r="D11" s="33"/>
      <c r="E11" s="34"/>
      <c r="F11" s="35"/>
      <c r="G11" s="35"/>
      <c r="H11" s="36" t="s">
        <v>13</v>
      </c>
      <c r="I11" s="36" t="s">
        <v>14</v>
      </c>
      <c r="J11" s="36" t="s">
        <v>15</v>
      </c>
      <c r="K11" s="36" t="s">
        <v>16</v>
      </c>
    </row>
    <row r="12" spans="1:11" ht="15" customHeight="1" outlineLevel="1" x14ac:dyDescent="0.25">
      <c r="A12" s="37" t="s">
        <v>17</v>
      </c>
      <c r="B12" s="37"/>
      <c r="C12" s="38"/>
      <c r="D12" s="39"/>
      <c r="E12" s="35"/>
      <c r="F12" s="35"/>
      <c r="G12" s="35"/>
      <c r="H12" s="36"/>
      <c r="I12" s="36"/>
      <c r="J12" s="36"/>
      <c r="K12" s="36"/>
    </row>
    <row r="13" spans="1:11" ht="15" customHeight="1" outlineLevel="1" x14ac:dyDescent="0.25">
      <c r="A13" s="40"/>
      <c r="D13" s="41"/>
      <c r="H13" s="36"/>
      <c r="I13" s="36"/>
      <c r="J13" s="36"/>
      <c r="K13" s="36"/>
    </row>
    <row r="14" spans="1:11" s="35" customFormat="1" ht="15" customHeight="1" outlineLevel="1" x14ac:dyDescent="0.25">
      <c r="A14" s="42" t="s">
        <v>18</v>
      </c>
      <c r="B14" s="42"/>
      <c r="C14" s="42"/>
      <c r="D14" s="42"/>
      <c r="E14" s="42"/>
      <c r="F14" s="42"/>
      <c r="G14" s="42"/>
      <c r="H14" s="43"/>
      <c r="I14" s="44" t="s">
        <v>19</v>
      </c>
      <c r="J14" s="45" t="s">
        <v>232</v>
      </c>
      <c r="K14" s="46" t="s">
        <v>232</v>
      </c>
    </row>
    <row r="15" spans="1:11" s="35" customFormat="1" outlineLevel="1" x14ac:dyDescent="0.25">
      <c r="A15" s="47" t="s">
        <v>20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</row>
    <row r="16" spans="1:11" s="35" customFormat="1" outlineLevel="1" x14ac:dyDescent="0.25">
      <c r="A16" s="48"/>
      <c r="B16" t="s">
        <v>21</v>
      </c>
      <c r="C16" s="24"/>
      <c r="D16" s="49"/>
      <c r="E16" s="50" t="s">
        <v>22</v>
      </c>
      <c r="F16" s="50"/>
      <c r="G16" s="51"/>
      <c r="H16" s="52"/>
      <c r="I16" s="52" t="s">
        <v>19</v>
      </c>
      <c r="J16" s="53"/>
      <c r="K16" s="54"/>
    </row>
    <row r="17" spans="1:14" s="35" customFormat="1" outlineLevel="1" x14ac:dyDescent="0.25">
      <c r="A17" s="48"/>
      <c r="B17" t="s">
        <v>23</v>
      </c>
      <c r="C17" s="24"/>
      <c r="D17" s="49"/>
      <c r="E17" s="55" t="str">
        <f>IF(ChoixLangue=Tableau2[[#Headers],[Français]],traduction!$B$32,IF(ChoixLangue=Tableau2[[#Headers],[Español]],traduction!$C$32,traduction!$D$32))</f>
        <v>scelta di colori</v>
      </c>
      <c r="F17" s="50" t="s">
        <v>25</v>
      </c>
      <c r="G17" s="51"/>
      <c r="H17" s="52"/>
      <c r="I17" s="52" t="s">
        <v>19</v>
      </c>
      <c r="J17" s="53"/>
      <c r="K17" s="54"/>
    </row>
    <row r="18" spans="1:14" s="35" customFormat="1" outlineLevel="1" x14ac:dyDescent="0.25">
      <c r="A18" s="48"/>
      <c r="B18" t="s">
        <v>26</v>
      </c>
      <c r="C18" s="24"/>
      <c r="D18" s="49"/>
      <c r="E18" s="55" t="str">
        <f>IF(ChoixLangue=Tableau2[[#Headers],[Français]],traduction!$B$32,IF(ChoixLangue=Tableau2[[#Headers],[Español]],traduction!$C$32,traduction!$D$32))</f>
        <v>scelta di colori</v>
      </c>
      <c r="F18" s="50" t="s">
        <v>27</v>
      </c>
      <c r="G18" s="51"/>
      <c r="H18" s="52"/>
      <c r="I18" s="52" t="s">
        <v>19</v>
      </c>
      <c r="J18" s="53"/>
      <c r="K18" s="54"/>
    </row>
    <row r="19" spans="1:14" s="35" customFormat="1" outlineLevel="1" x14ac:dyDescent="0.25">
      <c r="A19" s="48"/>
      <c r="B19" s="56" t="s">
        <v>28</v>
      </c>
      <c r="C19" s="24"/>
      <c r="D19" s="49"/>
      <c r="E19" s="55"/>
      <c r="F19" s="2"/>
      <c r="G19" s="57"/>
      <c r="H19" s="58"/>
      <c r="I19" s="59"/>
      <c r="J19" s="53"/>
      <c r="K19" s="54"/>
    </row>
    <row r="20" spans="1:14" s="35" customFormat="1" outlineLevel="1" x14ac:dyDescent="0.25">
      <c r="A20" s="48"/>
      <c r="B20" t="s">
        <v>29</v>
      </c>
      <c r="C20" s="24"/>
      <c r="D20"/>
      <c r="E20" s="60"/>
      <c r="F20" s="2"/>
      <c r="G20" s="57"/>
      <c r="H20" s="61" t="s">
        <v>30</v>
      </c>
      <c r="I20" s="62" t="s">
        <v>31</v>
      </c>
      <c r="J20" s="54" t="str">
        <f>IF(I20&lt;&gt;0,H20," ")</f>
        <v>inclus</v>
      </c>
      <c r="K20" s="54"/>
    </row>
    <row r="21" spans="1:14" s="35" customFormat="1" outlineLevel="1" x14ac:dyDescent="0.25">
      <c r="A21" s="40"/>
      <c r="B21" t="s">
        <v>32</v>
      </c>
      <c r="C21" s="24"/>
      <c r="D21"/>
      <c r="E21" s="63"/>
      <c r="F21" s="2"/>
      <c r="G21" s="57"/>
      <c r="H21" s="58">
        <f>ROUND(+[1]Tarifs!R6,0)</f>
        <v>517</v>
      </c>
      <c r="I21" s="59"/>
      <c r="J21" s="54" t="str">
        <f t="shared" ref="J21:J24" si="0">IF(I21&lt;&gt;0,H21," ")</f>
        <v xml:space="preserve"> </v>
      </c>
      <c r="K21" s="54" t="str">
        <f>IF(J21&lt;&gt;" ",J21*C$12," ")</f>
        <v xml:space="preserve"> </v>
      </c>
    </row>
    <row r="22" spans="1:14" s="35" customFormat="1" outlineLevel="1" x14ac:dyDescent="0.25">
      <c r="A22" s="40"/>
      <c r="B22" t="s">
        <v>33</v>
      </c>
      <c r="C22" s="24"/>
      <c r="D22"/>
      <c r="E22" s="64" t="s">
        <v>34</v>
      </c>
      <c r="F22" s="64"/>
      <c r="G22" s="65"/>
      <c r="H22" s="61">
        <f>ROUND(+[1]Tarifs!AA6,0)</f>
        <v>2011</v>
      </c>
      <c r="I22" s="59"/>
      <c r="J22" s="54" t="str">
        <f t="shared" si="0"/>
        <v xml:space="preserve"> </v>
      </c>
      <c r="K22" s="54" t="str">
        <f>IF(J22&lt;&gt;" ",J22*C$12," ")</f>
        <v xml:space="preserve"> </v>
      </c>
    </row>
    <row r="23" spans="1:14" s="35" customFormat="1" outlineLevel="1" x14ac:dyDescent="0.25">
      <c r="A23" s="40"/>
      <c r="B23" s="66" t="str">
        <f>IF(OR(COUNTA(I20:I24)=0,COUNTA(I20:I24)&gt;1),"Choix obligatoire", "")</f>
        <v/>
      </c>
      <c r="C23" s="66"/>
      <c r="D23" s="66"/>
      <c r="E23" t="s">
        <v>35</v>
      </c>
      <c r="F23" s="2"/>
      <c r="G23" s="57"/>
      <c r="H23" s="61">
        <f>+H22</f>
        <v>2011</v>
      </c>
      <c r="I23" s="59"/>
      <c r="J23" s="53" t="str">
        <f t="shared" si="0"/>
        <v xml:space="preserve"> </v>
      </c>
      <c r="K23" s="54" t="str">
        <f>IF(J23&lt;&gt;" ",J23*C$12," ")</f>
        <v xml:space="preserve"> </v>
      </c>
      <c r="N23" s="67"/>
    </row>
    <row r="24" spans="1:14" s="35" customFormat="1" outlineLevel="1" x14ac:dyDescent="0.25">
      <c r="A24" s="40"/>
      <c r="B24" s="66"/>
      <c r="C24" s="66"/>
      <c r="D24" s="66"/>
      <c r="E24" t="s">
        <v>36</v>
      </c>
      <c r="F24" s="2"/>
      <c r="G24" s="57"/>
      <c r="H24" s="61">
        <f>ROUND(+[1]Tarifs!AB6,0)</f>
        <v>2308</v>
      </c>
      <c r="I24" s="59"/>
      <c r="J24" s="53" t="str">
        <f t="shared" si="0"/>
        <v xml:space="preserve"> </v>
      </c>
      <c r="K24" s="54" t="str">
        <f>IF(J24&lt;&gt;" ",J24*C$12," ")</f>
        <v xml:space="preserve"> </v>
      </c>
    </row>
    <row r="25" spans="1:14" s="35" customFormat="1" outlineLevel="1" x14ac:dyDescent="0.25">
      <c r="A25" s="47" t="s">
        <v>37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4" s="35" customFormat="1" outlineLevel="1" x14ac:dyDescent="0.25">
      <c r="A26" s="48"/>
      <c r="B26" t="s">
        <v>38</v>
      </c>
      <c r="C26" s="24"/>
      <c r="D26"/>
      <c r="F26" s="68" t="str">
        <f>IF(OR(COUNTA(I26:I27)=0,COUNTA(I26:I27)&gt;1),"Choix obligatoire"," ")</f>
        <v xml:space="preserve"> </v>
      </c>
      <c r="G26" s="68"/>
      <c r="H26" s="61" t="s">
        <v>30</v>
      </c>
      <c r="I26" s="69" t="s">
        <v>31</v>
      </c>
      <c r="J26" s="53" t="str">
        <f>IF(I26&lt;&gt;0,H26," ")</f>
        <v>inclus</v>
      </c>
      <c r="K26" s="54"/>
    </row>
    <row r="27" spans="1:14" s="35" customFormat="1" outlineLevel="1" x14ac:dyDescent="0.25">
      <c r="A27" s="48"/>
      <c r="B27" t="s">
        <v>39</v>
      </c>
      <c r="C27" s="24"/>
      <c r="D27"/>
      <c r="E27"/>
      <c r="F27" s="68"/>
      <c r="G27" s="68"/>
      <c r="H27" s="61">
        <f>ROUND(+[1]Tarifs!N6,0)</f>
        <v>2497</v>
      </c>
      <c r="I27" s="69"/>
      <c r="J27" s="53" t="str">
        <f>IF(I27&lt;&gt;0,H27," ")</f>
        <v xml:space="preserve"> </v>
      </c>
      <c r="K27" s="54" t="str">
        <f>IF(J27&lt;&gt;" ",J27*C$12," ")</f>
        <v xml:space="preserve"> </v>
      </c>
    </row>
    <row r="28" spans="1:14" s="35" customFormat="1" outlineLevel="1" x14ac:dyDescent="0.25">
      <c r="A28" s="48"/>
      <c r="B28" s="24" t="s">
        <v>40</v>
      </c>
      <c r="C28" s="70"/>
      <c r="D28" s="71"/>
      <c r="E28" s="55" t="s">
        <v>41</v>
      </c>
      <c r="F28" s="70"/>
      <c r="G28" s="72"/>
      <c r="H28" s="61" t="s">
        <v>30</v>
      </c>
      <c r="I28" s="69" t="s">
        <v>31</v>
      </c>
      <c r="J28" s="53" t="str">
        <f>IF(I28&lt;&gt;0,H28," ")</f>
        <v>inclus</v>
      </c>
      <c r="K28" s="54"/>
    </row>
    <row r="29" spans="1:14" s="35" customFormat="1" outlineLevel="1" x14ac:dyDescent="0.25">
      <c r="A29" s="48"/>
      <c r="B29" t="s">
        <v>42</v>
      </c>
      <c r="C29" s="24"/>
      <c r="D29"/>
      <c r="E29"/>
      <c r="F29" s="73"/>
      <c r="G29" s="74"/>
      <c r="H29" s="75">
        <f>ROUND(71,0)</f>
        <v>71</v>
      </c>
      <c r="I29" s="69"/>
      <c r="J29" s="53" t="str">
        <f>IF(I29&lt;&gt;0,H29," ")</f>
        <v xml:space="preserve"> </v>
      </c>
      <c r="K29" s="54" t="str">
        <f>IF(J29&lt;&gt;" ",J29*C$12," ")</f>
        <v xml:space="preserve"> </v>
      </c>
    </row>
    <row r="30" spans="1:14" s="35" customFormat="1" ht="15.75" customHeight="1" outlineLevel="1" x14ac:dyDescent="0.25">
      <c r="A30" s="47" t="s">
        <v>43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</row>
    <row r="31" spans="1:14" ht="15" customHeight="1" outlineLevel="1" x14ac:dyDescent="0.25">
      <c r="A31" s="40"/>
      <c r="B31" t="s">
        <v>44</v>
      </c>
      <c r="F31" s="49"/>
      <c r="G31" s="76"/>
      <c r="H31" s="61">
        <f>ROUND(+[1]Tarifs!AG6,0)</f>
        <v>812</v>
      </c>
      <c r="I31" s="62"/>
      <c r="J31" s="54" t="str">
        <f t="shared" ref="J31:J38" si="1">IF(I31&lt;&gt;0,H31," ")</f>
        <v xml:space="preserve"> </v>
      </c>
      <c r="K31" s="54" t="str">
        <f t="shared" ref="K31:K38" si="2">IF(J31&lt;&gt;" ",J31*C$12," ")</f>
        <v xml:space="preserve"> </v>
      </c>
    </row>
    <row r="32" spans="1:14" ht="15" customHeight="1" outlineLevel="1" x14ac:dyDescent="0.25">
      <c r="A32" s="40"/>
      <c r="B32" t="s">
        <v>45</v>
      </c>
      <c r="F32" s="49"/>
      <c r="G32" s="49"/>
      <c r="H32" s="61">
        <f>ROUND(+[1]Tarifs!AK6,0)</f>
        <v>777</v>
      </c>
      <c r="I32" s="62"/>
      <c r="J32" s="54" t="str">
        <f t="shared" si="1"/>
        <v xml:space="preserve"> </v>
      </c>
      <c r="K32" s="54" t="str">
        <f t="shared" si="2"/>
        <v xml:space="preserve"> </v>
      </c>
    </row>
    <row r="33" spans="1:14" ht="15" hidden="1" customHeight="1" outlineLevel="1" x14ac:dyDescent="0.25">
      <c r="A33" s="40"/>
      <c r="B33" t="s">
        <v>46</v>
      </c>
      <c r="F33" s="49"/>
      <c r="G33" s="49"/>
      <c r="H33" s="77">
        <f>ROUND(110/0.65,0)</f>
        <v>169</v>
      </c>
      <c r="I33" s="62"/>
      <c r="J33" s="54" t="str">
        <f t="shared" si="1"/>
        <v xml:space="preserve"> </v>
      </c>
      <c r="K33" s="54" t="str">
        <f t="shared" si="2"/>
        <v xml:space="preserve"> </v>
      </c>
    </row>
    <row r="34" spans="1:14" ht="15" customHeight="1" outlineLevel="1" x14ac:dyDescent="0.25">
      <c r="A34" s="40"/>
      <c r="B34" t="str">
        <f>IF(E11="2 Pentes","Descentes de gouttières du chalet hors pergola","Chéneau et descente de gouttières du chalet hors pergola")</f>
        <v>Chéneau et descente de gouttières du chalet hors pergola</v>
      </c>
      <c r="F34" s="49"/>
      <c r="G34" s="49"/>
      <c r="H34" s="58">
        <f>ROUND(IF(E11="2 Pentes",[1]Tarifs!AS6,[1]Tarifs!AR6),0)</f>
        <v>417</v>
      </c>
      <c r="I34" s="62"/>
      <c r="J34" s="54" t="str">
        <f t="shared" si="1"/>
        <v xml:space="preserve"> </v>
      </c>
      <c r="K34" s="54" t="str">
        <f t="shared" si="2"/>
        <v xml:space="preserve"> </v>
      </c>
    </row>
    <row r="35" spans="1:14" ht="15" customHeight="1" outlineLevel="1" x14ac:dyDescent="0.25">
      <c r="A35" s="40"/>
      <c r="B35" s="24" t="s">
        <v>47</v>
      </c>
      <c r="D35" s="24"/>
      <c r="E35" s="24"/>
      <c r="F35" s="78"/>
      <c r="G35" s="79"/>
      <c r="H35" s="77">
        <f>ROUND(65,0)</f>
        <v>65</v>
      </c>
      <c r="I35" s="62"/>
      <c r="J35" s="54" t="str">
        <f t="shared" si="1"/>
        <v xml:space="preserve"> </v>
      </c>
      <c r="K35" s="54" t="str">
        <f t="shared" si="2"/>
        <v xml:space="preserve"> </v>
      </c>
    </row>
    <row r="36" spans="1:14" ht="15" customHeight="1" outlineLevel="1" x14ac:dyDescent="0.25">
      <c r="A36" s="40"/>
      <c r="B36" t="s">
        <v>48</v>
      </c>
      <c r="E36" s="55"/>
      <c r="F36" s="80" t="str">
        <f>_xlfn.IFS(I35="x","Ganivelle",I36="x","Lames horizontales",I34="","")</f>
        <v/>
      </c>
      <c r="G36" s="81"/>
      <c r="H36" s="77">
        <f>ROUND(283,0)</f>
        <v>283</v>
      </c>
      <c r="I36" s="62"/>
      <c r="J36" s="54" t="str">
        <f t="shared" si="1"/>
        <v xml:space="preserve"> </v>
      </c>
      <c r="K36" s="54" t="str">
        <f t="shared" si="2"/>
        <v xml:space="preserve"> </v>
      </c>
      <c r="L36" s="82"/>
    </row>
    <row r="37" spans="1:14" ht="15" customHeight="1" outlineLevel="1" x14ac:dyDescent="0.25">
      <c r="A37" s="40"/>
      <c r="B37" t="s">
        <v>49</v>
      </c>
      <c r="E37" s="55" t="s">
        <v>17</v>
      </c>
      <c r="F37" s="83"/>
      <c r="G37" s="84"/>
      <c r="H37" s="61">
        <f>ROUND(+[1]Tarifs!AY6,0)</f>
        <v>226</v>
      </c>
      <c r="I37" s="62"/>
      <c r="J37" s="54" t="str">
        <f>IF(I37&lt;&gt;0,H37*F37," ")</f>
        <v xml:space="preserve"> </v>
      </c>
      <c r="K37" s="54" t="str">
        <f t="shared" si="2"/>
        <v xml:space="preserve"> </v>
      </c>
    </row>
    <row r="38" spans="1:14" ht="15" customHeight="1" outlineLevel="1" x14ac:dyDescent="0.25">
      <c r="A38" s="40"/>
      <c r="B38" t="s">
        <v>50</v>
      </c>
      <c r="E38" s="2" t="s">
        <v>51</v>
      </c>
      <c r="F38" s="85"/>
      <c r="G38" s="86"/>
      <c r="H38" s="87" t="str">
        <f>IF(SUMIF(F39:F41,"o",E39:E41)=0,"Non",SUMIF(F39:F41,"o",E39:E41))</f>
        <v>Non</v>
      </c>
      <c r="I38" s="73"/>
      <c r="J38" s="54" t="str">
        <f t="shared" si="1"/>
        <v xml:space="preserve"> </v>
      </c>
      <c r="K38" s="54" t="str">
        <f t="shared" si="2"/>
        <v xml:space="preserve"> </v>
      </c>
    </row>
    <row r="39" spans="1:14" ht="15" customHeight="1" outlineLevel="1" x14ac:dyDescent="0.25">
      <c r="A39" s="40"/>
      <c r="B39" s="88" t="s">
        <v>52</v>
      </c>
      <c r="C39" s="88"/>
      <c r="D39" s="88"/>
      <c r="E39" s="89">
        <f>551*1.05</f>
        <v>578.55000000000007</v>
      </c>
      <c r="F39" s="73"/>
      <c r="G39" s="90" t="s">
        <v>53</v>
      </c>
      <c r="H39" s="91"/>
      <c r="I39" s="73"/>
      <c r="J39" s="53"/>
      <c r="K39" s="54"/>
    </row>
    <row r="40" spans="1:14" ht="15" customHeight="1" outlineLevel="1" x14ac:dyDescent="0.25">
      <c r="A40" s="40"/>
      <c r="B40" s="88"/>
      <c r="C40" s="88"/>
      <c r="D40" s="88"/>
      <c r="E40" s="89">
        <f>551*1.05</f>
        <v>578.55000000000007</v>
      </c>
      <c r="F40" s="73"/>
      <c r="G40" s="90" t="s">
        <v>54</v>
      </c>
      <c r="H40" s="91"/>
      <c r="I40" s="73"/>
      <c r="J40" s="53"/>
      <c r="K40" s="54"/>
    </row>
    <row r="41" spans="1:14" ht="15" customHeight="1" outlineLevel="1" x14ac:dyDescent="0.25">
      <c r="A41" s="40"/>
      <c r="B41" s="88"/>
      <c r="C41" s="88"/>
      <c r="D41" s="88"/>
      <c r="E41" s="89">
        <f>551*1.05</f>
        <v>578.55000000000007</v>
      </c>
      <c r="F41" s="73"/>
      <c r="G41" s="90" t="s">
        <v>55</v>
      </c>
      <c r="H41" s="91"/>
      <c r="I41" s="73"/>
      <c r="J41" s="53"/>
      <c r="K41" s="54"/>
    </row>
    <row r="42" spans="1:14" ht="15" customHeight="1" outlineLevel="1" x14ac:dyDescent="0.25">
      <c r="A42" s="40"/>
      <c r="B42" t="s">
        <v>56</v>
      </c>
      <c r="E42" s="92"/>
      <c r="F42" s="93" t="s">
        <v>57</v>
      </c>
      <c r="G42" s="94"/>
      <c r="H42" s="95">
        <v>443</v>
      </c>
      <c r="I42" s="74"/>
      <c r="J42" s="53" t="str">
        <f>IF(I42&lt;&gt;0,H42*G42," ")</f>
        <v xml:space="preserve"> </v>
      </c>
      <c r="K42" s="54" t="str">
        <f>IF(J42&lt;&gt;" ",J42*C$12," ")</f>
        <v xml:space="preserve"> </v>
      </c>
      <c r="L42" s="2"/>
      <c r="N42" s="2"/>
    </row>
    <row r="43" spans="1:14" ht="15" customHeight="1" outlineLevel="1" x14ac:dyDescent="0.25">
      <c r="A43" s="40"/>
      <c r="B43" t="s">
        <v>58</v>
      </c>
      <c r="E43" s="96"/>
      <c r="F43" s="96" t="s">
        <v>57</v>
      </c>
      <c r="G43" s="94"/>
      <c r="H43" s="95">
        <f>ROUND(35/0.65,0)</f>
        <v>54</v>
      </c>
      <c r="I43" s="74"/>
      <c r="J43" s="53" t="str">
        <f>IF(I43&lt;&gt;0,H43*G43," ")</f>
        <v xml:space="preserve"> </v>
      </c>
      <c r="K43" s="54" t="str">
        <f>IF(J43&lt;&gt;" ",J43*C$12," ")</f>
        <v xml:space="preserve"> </v>
      </c>
      <c r="L43" s="2"/>
      <c r="N43" s="2"/>
    </row>
    <row r="44" spans="1:14" s="35" customFormat="1" ht="15" customHeight="1" outlineLevel="1" x14ac:dyDescent="0.25">
      <c r="A44" s="47" t="s">
        <v>59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</row>
    <row r="45" spans="1:14" ht="15" customHeight="1" outlineLevel="1" x14ac:dyDescent="0.25">
      <c r="A45" s="40"/>
      <c r="B45" s="97" t="s">
        <v>60</v>
      </c>
      <c r="C45" s="98"/>
      <c r="D45" s="57"/>
      <c r="E45" s="57"/>
      <c r="F45" s="57"/>
      <c r="G45" s="57"/>
      <c r="H45" s="99">
        <f>ROUND(+[1]Tarifs!BC6,0)</f>
        <v>1269</v>
      </c>
      <c r="I45" s="69"/>
      <c r="J45" s="53" t="str">
        <f>IF(I45&lt;&gt;0,H45," ")</f>
        <v xml:space="preserve"> </v>
      </c>
      <c r="K45" s="54" t="str">
        <f t="shared" ref="K45:K80" si="3">IF(J45&lt;&gt;" ",J45*C$12," ")</f>
        <v xml:space="preserve"> </v>
      </c>
    </row>
    <row r="46" spans="1:14" ht="15" customHeight="1" outlineLevel="1" x14ac:dyDescent="0.25">
      <c r="A46" s="40"/>
      <c r="B46" s="97" t="s">
        <v>61</v>
      </c>
      <c r="C46" s="98"/>
      <c r="D46" s="57"/>
      <c r="E46" s="57"/>
      <c r="F46" s="57"/>
      <c r="G46" s="57"/>
      <c r="H46" s="99">
        <f>ROUND(+[1]Tarifs!BF6,0)</f>
        <v>1194</v>
      </c>
      <c r="I46" s="69"/>
      <c r="J46" s="53" t="str">
        <f>IF(I46&lt;&gt;0,H46," ")</f>
        <v xml:space="preserve"> </v>
      </c>
      <c r="K46" s="54" t="str">
        <f t="shared" si="3"/>
        <v xml:space="preserve"> </v>
      </c>
    </row>
    <row r="47" spans="1:14" ht="15" customHeight="1" outlineLevel="1" x14ac:dyDescent="0.25">
      <c r="A47" s="40"/>
      <c r="B47" s="97" t="s">
        <v>62</v>
      </c>
      <c r="C47" s="98"/>
      <c r="D47" s="57"/>
      <c r="E47" s="57"/>
      <c r="F47" s="57"/>
      <c r="G47" s="57"/>
      <c r="H47" s="99">
        <f>ROUND(+[1]Tarifs!BI6,0)</f>
        <v>1203</v>
      </c>
      <c r="I47" s="69"/>
      <c r="J47" s="53" t="str">
        <f t="shared" ref="J47" si="4">IF(I47&lt;&gt;0,H47," ")</f>
        <v xml:space="preserve"> </v>
      </c>
      <c r="K47" s="54" t="str">
        <f t="shared" si="3"/>
        <v xml:space="preserve"> </v>
      </c>
    </row>
    <row r="48" spans="1:14" ht="15" customHeight="1" outlineLevel="1" x14ac:dyDescent="0.25">
      <c r="A48" s="40"/>
      <c r="B48" t="s">
        <v>63</v>
      </c>
      <c r="F48" s="31"/>
      <c r="G48" s="100"/>
      <c r="H48" s="75">
        <f>ROUND(133/0.65,0)</f>
        <v>205</v>
      </c>
      <c r="I48" s="69"/>
      <c r="J48" s="53" t="str">
        <f>IF(I48&lt;&gt;0,H48," ")</f>
        <v xml:space="preserve"> </v>
      </c>
      <c r="K48" s="54" t="str">
        <f>IF(J48&lt;&gt;" ",J48*C$12," ")</f>
        <v xml:space="preserve"> </v>
      </c>
    </row>
    <row r="49" spans="1:12" ht="15" customHeight="1" outlineLevel="1" x14ac:dyDescent="0.25">
      <c r="A49" s="40"/>
      <c r="B49" t="s">
        <v>64</v>
      </c>
      <c r="F49" s="31"/>
      <c r="G49" s="101" t="str">
        <f>IF(SUM(COUNTA(I45)+COUNTA(I49))=2,"incompatible avec un isolant sol"," ")</f>
        <v xml:space="preserve"> </v>
      </c>
      <c r="H49" s="102">
        <f>ROUND(192/0.65,0)</f>
        <v>295</v>
      </c>
      <c r="I49" s="69"/>
      <c r="J49" s="53" t="str">
        <f t="shared" ref="J49" si="5">IF(I49&lt;&gt;0,H49," ")</f>
        <v xml:space="preserve"> </v>
      </c>
      <c r="K49" s="54" t="str">
        <f>IF(J49&lt;&gt;" ",J49*C$12," ")</f>
        <v xml:space="preserve"> </v>
      </c>
    </row>
    <row r="50" spans="1:12" ht="15" customHeight="1" outlineLevel="1" x14ac:dyDescent="0.25">
      <c r="A50" s="40"/>
      <c r="B50" t="s">
        <v>65</v>
      </c>
      <c r="F50" s="31"/>
      <c r="G50" s="31"/>
      <c r="H50" s="103">
        <f>ROUND(334/0.65,0)</f>
        <v>514</v>
      </c>
      <c r="I50" s="69"/>
      <c r="J50" s="53" t="str">
        <f>IF(I50&lt;&gt;0,H50," ")</f>
        <v xml:space="preserve"> </v>
      </c>
      <c r="K50" s="54" t="str">
        <f>IF(J50&lt;&gt;" ",J50*C$12," ")</f>
        <v xml:space="preserve"> </v>
      </c>
    </row>
    <row r="51" spans="1:12" ht="15" customHeight="1" outlineLevel="1" x14ac:dyDescent="0.25">
      <c r="A51" s="40"/>
      <c r="B51" t="s">
        <v>66</v>
      </c>
      <c r="H51" s="102">
        <f>ROUND((1115-480)/0.65,0)</f>
        <v>977</v>
      </c>
      <c r="I51" s="69"/>
      <c r="J51" s="53" t="str">
        <f>IF(I51&lt;&gt;0,H51," ")</f>
        <v xml:space="preserve"> </v>
      </c>
      <c r="K51" s="54" t="str">
        <f>IF(J51&lt;&gt;" ",J51*C$12," ")</f>
        <v xml:space="preserve"> </v>
      </c>
    </row>
    <row r="52" spans="1:12" ht="15" customHeight="1" outlineLevel="1" x14ac:dyDescent="0.25">
      <c r="A52" s="47" t="s">
        <v>67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</row>
    <row r="53" spans="1:12" ht="15" customHeight="1" outlineLevel="1" x14ac:dyDescent="0.25">
      <c r="A53" s="40"/>
      <c r="B53" t="s">
        <v>68</v>
      </c>
      <c r="F53" s="31"/>
      <c r="G53" s="100"/>
      <c r="H53" s="75">
        <f>ROUND(130/0.65,0)</f>
        <v>200</v>
      </c>
      <c r="I53" s="69"/>
      <c r="J53" s="53" t="str">
        <f>IF(I53&lt;&gt;0,H53," ")</f>
        <v xml:space="preserve"> </v>
      </c>
      <c r="K53" s="54" t="str">
        <f>IF(J53&lt;&gt;" ",J53*C$12," ")</f>
        <v xml:space="preserve"> </v>
      </c>
    </row>
    <row r="54" spans="1:12" ht="15" customHeight="1" outlineLevel="1" x14ac:dyDescent="0.25">
      <c r="A54" s="40"/>
      <c r="B54" t="s">
        <v>69</v>
      </c>
      <c r="F54" s="31"/>
      <c r="G54" s="31"/>
      <c r="H54" s="77">
        <f>ROUND(76/0.65,0)</f>
        <v>117</v>
      </c>
      <c r="I54" s="69"/>
      <c r="J54" s="53" t="str">
        <f>IF(I54&lt;&gt;0,H54," ")</f>
        <v xml:space="preserve"> </v>
      </c>
      <c r="K54" s="54" t="str">
        <f>IF(J54&lt;&gt;" ",J54*C$12," ")</f>
        <v xml:space="preserve"> </v>
      </c>
    </row>
    <row r="55" spans="1:12" ht="15" customHeight="1" outlineLevel="1" x14ac:dyDescent="0.25">
      <c r="A55" s="40"/>
      <c r="B55" t="s">
        <v>70</v>
      </c>
      <c r="F55" s="31"/>
      <c r="G55" s="100"/>
      <c r="H55" s="104">
        <f>ROUND(269/0.65,0)</f>
        <v>414</v>
      </c>
      <c r="I55" s="69"/>
      <c r="J55" s="53" t="str">
        <f>IF(I55&lt;&gt;0,H55," ")</f>
        <v xml:space="preserve"> </v>
      </c>
      <c r="K55" s="54" t="str">
        <f>IF(J55&lt;&gt;" ",J55*C$12," ")</f>
        <v xml:space="preserve"> </v>
      </c>
    </row>
    <row r="56" spans="1:12" ht="15" customHeight="1" outlineLevel="1" x14ac:dyDescent="0.25">
      <c r="A56" s="40"/>
      <c r="B56" t="s">
        <v>71</v>
      </c>
      <c r="F56" s="31"/>
      <c r="G56" s="31"/>
      <c r="H56" s="77">
        <f>ROUND(H53-62,0)</f>
        <v>138</v>
      </c>
      <c r="I56" s="69"/>
      <c r="J56" s="54" t="str">
        <f>IF(I56&lt;&gt;0,H56," ")</f>
        <v xml:space="preserve"> </v>
      </c>
      <c r="K56" s="54" t="str">
        <f>IF(J56&lt;&gt;" ",J56*C$12," ")</f>
        <v xml:space="preserve"> </v>
      </c>
    </row>
    <row r="57" spans="1:12" ht="15" customHeight="1" outlineLevel="1" x14ac:dyDescent="0.25">
      <c r="A57" s="40"/>
      <c r="B57" t="s">
        <v>72</v>
      </c>
      <c r="F57" s="31"/>
      <c r="G57" s="100"/>
      <c r="H57" s="75">
        <f>ROUND(186,0)</f>
        <v>186</v>
      </c>
      <c r="I57" s="69"/>
      <c r="J57" s="54" t="str">
        <f>IF(I57&lt;&gt;0,H57," ")</f>
        <v xml:space="preserve"> </v>
      </c>
      <c r="K57" s="54" t="str">
        <f>IF(J57&lt;&gt;" ",J57*C$12," ")</f>
        <v xml:space="preserve"> </v>
      </c>
    </row>
    <row r="58" spans="1:12" ht="15" customHeight="1" outlineLevel="1" x14ac:dyDescent="0.25">
      <c r="A58" s="40"/>
      <c r="B58" t="s">
        <v>73</v>
      </c>
      <c r="F58" s="31"/>
      <c r="G58" s="31"/>
      <c r="H58" s="77">
        <f>ROUND(177,0)</f>
        <v>177</v>
      </c>
      <c r="I58" s="69"/>
      <c r="J58" s="54" t="str">
        <f t="shared" ref="J58:J59" si="6">IF(I58&lt;&gt;0,H58," ")</f>
        <v xml:space="preserve"> </v>
      </c>
      <c r="K58" s="54" t="str">
        <f t="shared" ref="K58:K59" si="7">IF(J58&lt;&gt;" ",J58*C$12," ")</f>
        <v xml:space="preserve"> </v>
      </c>
    </row>
    <row r="59" spans="1:12" ht="15" customHeight="1" outlineLevel="1" x14ac:dyDescent="0.25">
      <c r="A59" s="40"/>
      <c r="B59" t="s">
        <v>74</v>
      </c>
      <c r="F59" s="31"/>
      <c r="G59" s="31"/>
      <c r="H59" s="75">
        <f>ROUND(-66,0)</f>
        <v>-66</v>
      </c>
      <c r="I59" s="69"/>
      <c r="J59" s="54" t="str">
        <f t="shared" si="6"/>
        <v xml:space="preserve"> </v>
      </c>
      <c r="K59" s="54" t="str">
        <f t="shared" si="7"/>
        <v xml:space="preserve"> </v>
      </c>
    </row>
    <row r="60" spans="1:12" ht="15" customHeight="1" outlineLevel="1" x14ac:dyDescent="0.25">
      <c r="A60" s="47" t="s">
        <v>75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</row>
    <row r="61" spans="1:12" ht="15" customHeight="1" outlineLevel="1" x14ac:dyDescent="0.25">
      <c r="A61" s="40"/>
      <c r="B61" t="s">
        <v>76</v>
      </c>
      <c r="F61" s="31"/>
      <c r="G61" s="100"/>
      <c r="H61" s="104">
        <f>ROUND(224/0.65,0)</f>
        <v>345</v>
      </c>
      <c r="I61" s="69"/>
      <c r="J61" s="53" t="str">
        <f t="shared" ref="J61:J71" si="8">IF(I61&lt;&gt;0,H61," ")</f>
        <v xml:space="preserve"> </v>
      </c>
      <c r="K61" s="54" t="str">
        <f t="shared" ref="K61:K71" si="9">IF(J61&lt;&gt;" ",J61*C$12," ")</f>
        <v xml:space="preserve"> </v>
      </c>
      <c r="L61" s="105"/>
    </row>
    <row r="62" spans="1:12" ht="15" customHeight="1" outlineLevel="1" x14ac:dyDescent="0.25">
      <c r="A62" s="40"/>
      <c r="B62" t="s">
        <v>77</v>
      </c>
      <c r="F62" s="31"/>
      <c r="G62" s="100"/>
      <c r="H62" s="61" t="s">
        <v>19</v>
      </c>
      <c r="I62" s="69" t="s">
        <v>31</v>
      </c>
      <c r="J62" s="53" t="str">
        <f t="shared" si="8"/>
        <v>Inclus</v>
      </c>
      <c r="K62" s="54"/>
      <c r="L62" s="105"/>
    </row>
    <row r="63" spans="1:12" ht="15" customHeight="1" outlineLevel="1" x14ac:dyDescent="0.25">
      <c r="A63" s="40"/>
      <c r="B63" t="s">
        <v>78</v>
      </c>
      <c r="F63" s="31"/>
      <c r="G63" s="100"/>
      <c r="H63" s="75">
        <f>ROUND(70,0)</f>
        <v>70</v>
      </c>
      <c r="I63" s="74"/>
      <c r="J63" s="53" t="str">
        <f t="shared" si="8"/>
        <v xml:space="preserve"> </v>
      </c>
      <c r="K63" s="54" t="str">
        <f t="shared" si="9"/>
        <v xml:space="preserve"> </v>
      </c>
      <c r="L63" s="105"/>
    </row>
    <row r="64" spans="1:12" ht="15" customHeight="1" outlineLevel="1" x14ac:dyDescent="0.25">
      <c r="A64" s="40"/>
      <c r="B64" t="s">
        <v>79</v>
      </c>
      <c r="F64" s="31"/>
      <c r="G64" s="106"/>
      <c r="H64" s="61" t="str">
        <f>(IF(G64='[1]base options off'!C107,'[1]base options off'!D107,IF(G64='[1]base options off'!C108,'[1]base options off'!D108," ")))</f>
        <v xml:space="preserve"> </v>
      </c>
      <c r="I64" s="74"/>
      <c r="J64" s="53" t="str">
        <f t="shared" si="8"/>
        <v xml:space="preserve"> </v>
      </c>
      <c r="K64" s="54" t="str">
        <f t="shared" si="9"/>
        <v xml:space="preserve"> </v>
      </c>
      <c r="L64" s="105"/>
    </row>
    <row r="65" spans="1:14" outlineLevel="1" x14ac:dyDescent="0.25">
      <c r="A65" s="40"/>
      <c r="B65" t="s">
        <v>80</v>
      </c>
      <c r="F65" s="31"/>
      <c r="G65" s="107"/>
      <c r="H65" s="75">
        <v>102</v>
      </c>
      <c r="I65" s="74"/>
      <c r="J65" s="53" t="str">
        <f t="shared" si="8"/>
        <v xml:space="preserve"> </v>
      </c>
      <c r="K65" s="54" t="str">
        <f t="shared" si="9"/>
        <v xml:space="preserve"> </v>
      </c>
    </row>
    <row r="66" spans="1:14" ht="15" customHeight="1" outlineLevel="1" x14ac:dyDescent="0.25">
      <c r="A66" s="40"/>
      <c r="B66" t="s">
        <v>81</v>
      </c>
      <c r="F66" s="31"/>
      <c r="G66" s="31"/>
      <c r="H66" s="75">
        <v>349</v>
      </c>
      <c r="I66" s="69"/>
      <c r="J66" s="53" t="str">
        <f t="shared" si="8"/>
        <v xml:space="preserve"> </v>
      </c>
      <c r="K66" s="54" t="str">
        <f t="shared" si="9"/>
        <v xml:space="preserve"> </v>
      </c>
    </row>
    <row r="67" spans="1:14" ht="15" customHeight="1" outlineLevel="1" x14ac:dyDescent="0.25">
      <c r="A67" s="40"/>
      <c r="B67" t="s">
        <v>82</v>
      </c>
      <c r="F67" s="31"/>
      <c r="G67" s="74"/>
      <c r="H67" s="75">
        <v>360</v>
      </c>
      <c r="I67" s="69"/>
      <c r="J67" s="53" t="str">
        <f t="shared" si="8"/>
        <v xml:space="preserve"> </v>
      </c>
      <c r="K67" s="54" t="str">
        <f t="shared" si="9"/>
        <v xml:space="preserve"> </v>
      </c>
      <c r="L67" s="24"/>
      <c r="N67" s="2"/>
    </row>
    <row r="68" spans="1:14" ht="15" customHeight="1" outlineLevel="1" x14ac:dyDescent="0.25">
      <c r="A68" s="40"/>
      <c r="B68" t="s">
        <v>83</v>
      </c>
      <c r="F68" s="31"/>
      <c r="G68" s="31"/>
      <c r="H68" s="75">
        <v>80</v>
      </c>
      <c r="I68" s="69"/>
      <c r="J68" s="53" t="str">
        <f t="shared" si="8"/>
        <v xml:space="preserve"> </v>
      </c>
      <c r="K68" s="54" t="str">
        <f t="shared" si="9"/>
        <v xml:space="preserve"> </v>
      </c>
      <c r="L68" s="24"/>
      <c r="N68" s="2"/>
    </row>
    <row r="69" spans="1:14" ht="15" customHeight="1" outlineLevel="1" x14ac:dyDescent="0.25">
      <c r="A69" s="40"/>
      <c r="B69" t="s">
        <v>84</v>
      </c>
      <c r="F69" s="31"/>
      <c r="G69" s="31"/>
      <c r="H69" s="75">
        <v>568</v>
      </c>
      <c r="I69" s="62"/>
      <c r="J69" s="53" t="str">
        <f t="shared" si="8"/>
        <v xml:space="preserve"> </v>
      </c>
      <c r="K69" s="54" t="str">
        <f t="shared" si="9"/>
        <v xml:space="preserve"> </v>
      </c>
      <c r="L69" s="24"/>
      <c r="N69" s="2"/>
    </row>
    <row r="70" spans="1:14" ht="15" customHeight="1" outlineLevel="1" x14ac:dyDescent="0.25">
      <c r="A70" s="40"/>
      <c r="B70" t="s">
        <v>85</v>
      </c>
      <c r="F70" s="31"/>
      <c r="G70" s="31"/>
      <c r="H70" s="103">
        <v>90</v>
      </c>
      <c r="I70" s="73"/>
      <c r="J70" s="53" t="str">
        <f t="shared" si="8"/>
        <v xml:space="preserve"> </v>
      </c>
      <c r="K70" s="54" t="str">
        <f t="shared" si="9"/>
        <v xml:space="preserve"> </v>
      </c>
      <c r="L70" s="24"/>
      <c r="N70" s="2"/>
    </row>
    <row r="71" spans="1:14" ht="15" customHeight="1" outlineLevel="1" x14ac:dyDescent="0.25">
      <c r="A71" s="40"/>
      <c r="B71" s="108" t="s">
        <v>86</v>
      </c>
      <c r="F71" s="31"/>
      <c r="G71" s="31"/>
      <c r="H71" s="103">
        <v>478</v>
      </c>
      <c r="I71" s="73"/>
      <c r="J71" s="53" t="str">
        <f t="shared" si="8"/>
        <v xml:space="preserve"> </v>
      </c>
      <c r="K71" s="54" t="str">
        <f t="shared" si="9"/>
        <v xml:space="preserve"> </v>
      </c>
      <c r="L71" s="24"/>
      <c r="N71" s="2"/>
    </row>
    <row r="72" spans="1:14" ht="15" customHeight="1" outlineLevel="1" x14ac:dyDescent="0.25">
      <c r="A72" s="47"/>
      <c r="B72" s="109"/>
      <c r="C72" s="109"/>
      <c r="D72" s="109"/>
      <c r="E72" s="109"/>
      <c r="F72" s="109"/>
      <c r="G72" s="109"/>
      <c r="H72" s="109"/>
      <c r="I72" s="109"/>
      <c r="J72" s="109"/>
      <c r="K72" s="110"/>
      <c r="L72" s="2"/>
      <c r="N72" s="2"/>
    </row>
    <row r="73" spans="1:14" ht="15" customHeight="1" outlineLevel="1" x14ac:dyDescent="0.25">
      <c r="A73" s="40"/>
      <c r="B73" t="s">
        <v>87</v>
      </c>
      <c r="F73" s="31"/>
      <c r="G73" s="31"/>
      <c r="H73" s="61">
        <f>ROUND(+[1]Tarifs!BL6,0)</f>
        <v>95</v>
      </c>
      <c r="I73" s="74"/>
      <c r="J73" s="53" t="str">
        <f t="shared" ref="J73:J76" si="10">IF(I73&lt;&gt;0,H73," ")</f>
        <v xml:space="preserve"> </v>
      </c>
      <c r="K73" s="54" t="str">
        <f t="shared" ref="K73:K76" si="11">IF(J73&lt;&gt;" ",J73*C$12," ")</f>
        <v xml:space="preserve"> </v>
      </c>
      <c r="L73" s="24"/>
      <c r="N73" s="31"/>
    </row>
    <row r="74" spans="1:14" ht="15" customHeight="1" outlineLevel="1" x14ac:dyDescent="0.25">
      <c r="A74" s="40"/>
      <c r="B74" t="s">
        <v>88</v>
      </c>
      <c r="F74" s="31"/>
      <c r="G74" s="31"/>
      <c r="H74" s="75">
        <f>ROUND(365/0.65,0)</f>
        <v>562</v>
      </c>
      <c r="I74" s="74"/>
      <c r="J74" s="53" t="str">
        <f t="shared" si="10"/>
        <v xml:space="preserve"> </v>
      </c>
      <c r="K74" s="54" t="str">
        <f t="shared" si="11"/>
        <v xml:space="preserve"> </v>
      </c>
      <c r="L74" s="24"/>
      <c r="N74" s="2"/>
    </row>
    <row r="75" spans="1:14" ht="15" customHeight="1" outlineLevel="1" x14ac:dyDescent="0.25">
      <c r="A75" s="40"/>
      <c r="B75" t="s">
        <v>89</v>
      </c>
      <c r="F75" s="31"/>
      <c r="G75" s="31"/>
      <c r="H75" s="61" t="s">
        <v>90</v>
      </c>
      <c r="I75" s="69"/>
      <c r="J75" s="53" t="str">
        <f t="shared" si="10"/>
        <v xml:space="preserve"> </v>
      </c>
      <c r="K75" s="54" t="str">
        <f t="shared" si="11"/>
        <v xml:space="preserve"> </v>
      </c>
      <c r="L75" s="24"/>
      <c r="N75" s="2"/>
    </row>
    <row r="76" spans="1:14" ht="15" customHeight="1" outlineLevel="1" x14ac:dyDescent="0.25">
      <c r="A76" s="40"/>
      <c r="B76" t="s">
        <v>91</v>
      </c>
      <c r="F76" s="31"/>
      <c r="G76" s="31"/>
      <c r="H76" s="61">
        <f>ROUND([1]Tarifs!EA6,0)</f>
        <v>-584</v>
      </c>
      <c r="I76" s="69"/>
      <c r="J76" s="53" t="str">
        <f t="shared" si="10"/>
        <v xml:space="preserve"> </v>
      </c>
      <c r="K76" s="54" t="str">
        <f t="shared" si="11"/>
        <v xml:space="preserve"> </v>
      </c>
      <c r="L76" s="24"/>
      <c r="N76" s="2"/>
    </row>
    <row r="77" spans="1:14" ht="15" customHeight="1" outlineLevel="1" x14ac:dyDescent="0.25">
      <c r="A77" s="40"/>
      <c r="B77" t="s">
        <v>92</v>
      </c>
      <c r="F77" s="31"/>
      <c r="G77" s="100"/>
      <c r="H77" s="75">
        <f>ROUND(276,0)</f>
        <v>276</v>
      </c>
      <c r="I77" s="69"/>
      <c r="J77" s="53" t="str">
        <f>IF(I77&lt;&gt;0,H77," ")</f>
        <v xml:space="preserve"> </v>
      </c>
      <c r="K77" s="54" t="str">
        <f>IF(J77&lt;&gt;" ",J77*C$12," ")</f>
        <v xml:space="preserve"> </v>
      </c>
      <c r="L77" s="24"/>
      <c r="N77" s="2"/>
    </row>
    <row r="78" spans="1:14" ht="15" customHeight="1" outlineLevel="1" x14ac:dyDescent="0.25">
      <c r="A78" s="40"/>
      <c r="B78" t="s">
        <v>93</v>
      </c>
      <c r="E78" s="55" t="s">
        <v>94</v>
      </c>
      <c r="F78" s="111"/>
      <c r="G78" s="112"/>
      <c r="H78" s="75">
        <f>ROUND(112/0.65,0)</f>
        <v>172</v>
      </c>
      <c r="I78" s="69"/>
      <c r="J78" s="53" t="str">
        <f t="shared" ref="J78:J80" si="12">IF(I78&lt;&gt;0,H78," ")</f>
        <v xml:space="preserve"> </v>
      </c>
      <c r="K78" s="54" t="str">
        <f t="shared" si="3"/>
        <v xml:space="preserve"> </v>
      </c>
      <c r="L78" s="2"/>
      <c r="N78" s="2"/>
    </row>
    <row r="79" spans="1:14" ht="15" customHeight="1" outlineLevel="1" x14ac:dyDescent="0.25">
      <c r="A79" s="40"/>
      <c r="B79" t="s">
        <v>95</v>
      </c>
      <c r="F79" s="31"/>
      <c r="G79" s="100"/>
      <c r="H79" s="77">
        <f>ROUND(193,0)</f>
        <v>193</v>
      </c>
      <c r="I79" s="69"/>
      <c r="J79" s="53" t="str">
        <f t="shared" si="12"/>
        <v xml:space="preserve"> </v>
      </c>
      <c r="K79" s="54" t="str">
        <f t="shared" si="3"/>
        <v xml:space="preserve"> </v>
      </c>
      <c r="L79" s="2"/>
      <c r="N79" s="2"/>
    </row>
    <row r="80" spans="1:14" ht="15" customHeight="1" outlineLevel="1" x14ac:dyDescent="0.25">
      <c r="A80" s="40"/>
      <c r="B80" t="s">
        <v>96</v>
      </c>
      <c r="F80" s="31"/>
      <c r="G80" s="100"/>
      <c r="H80" s="75">
        <f>ROUND(224,0)</f>
        <v>224</v>
      </c>
      <c r="I80" s="69"/>
      <c r="J80" s="53" t="str">
        <f t="shared" si="12"/>
        <v xml:space="preserve"> </v>
      </c>
      <c r="K80" s="54" t="str">
        <f t="shared" si="3"/>
        <v xml:space="preserve"> </v>
      </c>
      <c r="L80" s="24"/>
    </row>
    <row r="81" spans="1:14" ht="15" customHeight="1" outlineLevel="1" x14ac:dyDescent="0.25">
      <c r="A81" s="40"/>
      <c r="B81" t="s">
        <v>97</v>
      </c>
      <c r="F81" s="31"/>
      <c r="G81" s="100"/>
      <c r="H81" s="75">
        <f>ROUND(186,0)</f>
        <v>186</v>
      </c>
      <c r="I81" s="69"/>
      <c r="J81" s="53" t="str">
        <f>IF(I81&lt;&gt;0,H81," ")</f>
        <v xml:space="preserve"> </v>
      </c>
      <c r="K81" s="54" t="str">
        <f>IF(J81&lt;&gt;" ",J81*C$12," ")</f>
        <v xml:space="preserve"> </v>
      </c>
    </row>
    <row r="82" spans="1:14" outlineLevel="1" x14ac:dyDescent="0.25">
      <c r="A82" s="113" t="s">
        <v>98</v>
      </c>
      <c r="B82" s="114"/>
      <c r="C82" s="114"/>
      <c r="D82" s="114"/>
      <c r="E82" s="114"/>
      <c r="F82" s="114"/>
      <c r="G82" s="114"/>
      <c r="H82" s="115"/>
      <c r="I82" s="116"/>
      <c r="J82" s="116"/>
      <c r="K82" s="117"/>
      <c r="L82" s="40"/>
    </row>
    <row r="83" spans="1:14" outlineLevel="1" x14ac:dyDescent="0.25">
      <c r="A83" s="40"/>
      <c r="B83" t="s">
        <v>99</v>
      </c>
      <c r="D83" s="118" t="s">
        <v>100</v>
      </c>
      <c r="E83" s="119"/>
      <c r="F83" s="120"/>
      <c r="G83" s="121"/>
      <c r="H83" s="61">
        <f>ROUND(IF(E83=[1]Tarifs!B31,[1]Tarifs!C31,[1]Tarifs!C27),0)</f>
        <v>402</v>
      </c>
      <c r="I83" s="74"/>
      <c r="J83" s="53" t="str">
        <f t="shared" ref="J83:J88" si="13">IF(I83&lt;&gt;0,H83," ")</f>
        <v xml:space="preserve"> </v>
      </c>
      <c r="K83" s="54" t="str">
        <f>IF(J83&lt;&gt;" ",J83*C$12," ")</f>
        <v xml:space="preserve"> </v>
      </c>
    </row>
    <row r="84" spans="1:14" outlineLevel="1" x14ac:dyDescent="0.25">
      <c r="A84" s="40"/>
      <c r="B84" t="s">
        <v>101</v>
      </c>
      <c r="D84" s="55" t="s">
        <v>100</v>
      </c>
      <c r="E84" s="122"/>
      <c r="F84" s="123"/>
      <c r="G84" s="124"/>
      <c r="H84" s="58">
        <f>[1]Tarifs!BN7</f>
        <v>128</v>
      </c>
      <c r="I84" s="74"/>
      <c r="J84" s="53" t="str">
        <f t="shared" si="13"/>
        <v xml:space="preserve"> </v>
      </c>
      <c r="K84" s="54" t="str">
        <f>IF(J84&lt;&gt;" ",J84*C$12," ")</f>
        <v xml:space="preserve"> </v>
      </c>
    </row>
    <row r="85" spans="1:14" outlineLevel="1" x14ac:dyDescent="0.25">
      <c r="A85" s="40"/>
      <c r="B85" t="s">
        <v>102</v>
      </c>
      <c r="D85" s="55" t="s">
        <v>100</v>
      </c>
      <c r="E85" s="125"/>
      <c r="F85" s="123"/>
      <c r="G85" s="124"/>
      <c r="H85" s="58">
        <f>ROUND([1]Tarifs!BO7,0)</f>
        <v>94</v>
      </c>
      <c r="I85" s="74"/>
      <c r="J85" s="54" t="str">
        <f t="shared" si="13"/>
        <v xml:space="preserve"> </v>
      </c>
      <c r="K85" s="4" t="str">
        <f>IF(J85&lt;&gt;" ",J85*C$12," ")</f>
        <v xml:space="preserve"> </v>
      </c>
      <c r="L85" s="40"/>
    </row>
    <row r="86" spans="1:14" outlineLevel="1" x14ac:dyDescent="0.25">
      <c r="A86" s="40"/>
      <c r="B86" t="s">
        <v>103</v>
      </c>
      <c r="C86" s="126"/>
      <c r="D86" s="127"/>
      <c r="E86" s="128"/>
      <c r="F86" s="129"/>
      <c r="G86" s="130"/>
      <c r="H86" s="61" t="str">
        <f>(IF(E86='[1]base options off'!$E$86,[1]Tarifs!BQ6,IF(E86='[1]base options off'!$E$85,[1]Tarifs!BR6," ")))</f>
        <v xml:space="preserve"> </v>
      </c>
      <c r="I86" s="69"/>
      <c r="J86" s="54" t="str">
        <f t="shared" si="13"/>
        <v xml:space="preserve"> </v>
      </c>
      <c r="K86" s="4" t="str">
        <f t="shared" ref="K86:K88" si="14">IF(J86&lt;&gt;" ",J86*C$12," ")</f>
        <v xml:space="preserve"> </v>
      </c>
      <c r="L86" s="40"/>
    </row>
    <row r="87" spans="1:14" ht="15" customHeight="1" outlineLevel="1" x14ac:dyDescent="0.25">
      <c r="A87" s="40"/>
      <c r="B87" t="s">
        <v>104</v>
      </c>
      <c r="F87" s="31"/>
      <c r="G87" s="100"/>
      <c r="H87" s="75">
        <v>274</v>
      </c>
      <c r="I87" s="69"/>
      <c r="J87" s="54" t="str">
        <f t="shared" si="13"/>
        <v xml:space="preserve"> </v>
      </c>
      <c r="K87" s="4" t="str">
        <f t="shared" si="14"/>
        <v xml:space="preserve"> </v>
      </c>
    </row>
    <row r="88" spans="1:14" ht="15.6" customHeight="1" outlineLevel="1" thickBot="1" x14ac:dyDescent="0.3">
      <c r="B88" t="s">
        <v>105</v>
      </c>
      <c r="E88" t="str">
        <f>IF(OR(I88="x",I87="x"),"Déjà des pass Hekipia ?","")</f>
        <v/>
      </c>
      <c r="F88" s="31"/>
      <c r="G88" s="74"/>
      <c r="H88" s="75">
        <v>48</v>
      </c>
      <c r="I88" s="69"/>
      <c r="J88" s="54" t="str">
        <f t="shared" si="13"/>
        <v xml:space="preserve"> </v>
      </c>
      <c r="K88" s="4" t="str">
        <f t="shared" si="14"/>
        <v xml:space="preserve"> </v>
      </c>
      <c r="L88" s="2"/>
      <c r="N88" s="2"/>
    </row>
    <row r="89" spans="1:14" ht="15.75" outlineLevel="1" thickTop="1" x14ac:dyDescent="0.25">
      <c r="A89" s="131"/>
      <c r="B89" s="132"/>
      <c r="C89" s="132"/>
      <c r="D89" s="132"/>
      <c r="E89" s="132"/>
      <c r="F89" s="132"/>
      <c r="G89" s="132"/>
      <c r="H89" s="132"/>
      <c r="I89" s="133"/>
      <c r="J89" s="134" t="str">
        <f>J14</f>
        <v>xx</v>
      </c>
      <c r="K89" s="134" t="str">
        <f>K14</f>
        <v>xx</v>
      </c>
    </row>
    <row r="90" spans="1:14" outlineLevel="1" x14ac:dyDescent="0.25">
      <c r="A90" s="131"/>
      <c r="B90" s="135" t="s">
        <v>106</v>
      </c>
      <c r="C90" s="135"/>
      <c r="D90" s="135"/>
      <c r="E90" s="135"/>
      <c r="F90" s="135"/>
      <c r="G90" s="135"/>
      <c r="H90" s="135"/>
      <c r="I90" s="136"/>
      <c r="J90" s="137">
        <f>SUM(J15:J88)</f>
        <v>0</v>
      </c>
      <c r="K90" s="137">
        <f>SUM(K15:K88)</f>
        <v>0</v>
      </c>
    </row>
    <row r="91" spans="1:14" outlineLevel="1" x14ac:dyDescent="0.25">
      <c r="A91" s="138" t="s">
        <v>107</v>
      </c>
      <c r="B91" s="139"/>
      <c r="C91" s="139"/>
      <c r="D91" s="139"/>
      <c r="E91" s="139"/>
      <c r="F91" s="139"/>
      <c r="G91" s="139"/>
      <c r="H91" s="139"/>
      <c r="I91" s="140"/>
      <c r="J91" s="141" t="e">
        <f>J89+J90</f>
        <v>#VALUE!</v>
      </c>
      <c r="K91" s="142" t="e">
        <f>K89+K90</f>
        <v>#VALUE!</v>
      </c>
      <c r="L91" s="3"/>
    </row>
    <row r="92" spans="1:14" ht="6" customHeight="1" outlineLevel="1" x14ac:dyDescent="0.25">
      <c r="A92" s="143"/>
      <c r="B92" s="144"/>
      <c r="C92" s="145"/>
      <c r="D92" s="144"/>
      <c r="E92" s="144"/>
      <c r="F92" s="144"/>
      <c r="G92" s="144"/>
      <c r="H92" s="144"/>
      <c r="I92" s="144"/>
      <c r="J92" s="146"/>
      <c r="K92" s="146"/>
    </row>
    <row r="93" spans="1:14" outlineLevel="1" x14ac:dyDescent="0.25">
      <c r="A93" s="147" t="s">
        <v>108</v>
      </c>
      <c r="B93" s="114"/>
      <c r="C93" s="114"/>
      <c r="D93" s="114"/>
      <c r="E93" s="114"/>
      <c r="F93" s="114"/>
      <c r="G93" s="114"/>
      <c r="H93" s="148" t="s">
        <v>109</v>
      </c>
      <c r="I93" s="149"/>
      <c r="J93" s="149" t="s">
        <v>17</v>
      </c>
      <c r="K93" s="149" t="s">
        <v>110</v>
      </c>
    </row>
    <row r="94" spans="1:14" outlineLevel="1" x14ac:dyDescent="0.25">
      <c r="A94" s="150"/>
      <c r="B94" s="24" t="s">
        <v>111</v>
      </c>
      <c r="F94" s="31"/>
      <c r="G94" s="31"/>
      <c r="H94" s="61">
        <f>ROUND(+[1]Tarifs!BX6,0)</f>
        <v>1256</v>
      </c>
      <c r="I94" s="69"/>
      <c r="J94" s="151"/>
      <c r="K94" s="54">
        <f>+J94*H94</f>
        <v>0</v>
      </c>
      <c r="M94" s="3"/>
    </row>
    <row r="95" spans="1:14" outlineLevel="1" x14ac:dyDescent="0.25">
      <c r="A95" s="150"/>
      <c r="B95" s="24" t="s">
        <v>112</v>
      </c>
      <c r="F95" s="31"/>
      <c r="G95" s="31"/>
      <c r="H95" s="61">
        <f>ROUND(+H94,0)</f>
        <v>1256</v>
      </c>
      <c r="I95" s="69"/>
      <c r="J95" s="151"/>
      <c r="K95" s="54">
        <f t="shared" ref="K95:K103" si="15">+J95*H95</f>
        <v>0</v>
      </c>
      <c r="M95" s="3"/>
    </row>
    <row r="96" spans="1:14" outlineLevel="1" x14ac:dyDescent="0.25">
      <c r="A96" s="150"/>
      <c r="B96" s="24" t="s">
        <v>113</v>
      </c>
      <c r="F96" s="31"/>
      <c r="G96" s="31"/>
      <c r="H96" s="61">
        <f>ROUND(+[1]Tarifs!CI6,0)</f>
        <v>3925</v>
      </c>
      <c r="I96" s="69"/>
      <c r="J96" s="151"/>
      <c r="K96" s="54">
        <f t="shared" si="15"/>
        <v>0</v>
      </c>
    </row>
    <row r="97" spans="1:14" ht="15" customHeight="1" outlineLevel="1" x14ac:dyDescent="0.25">
      <c r="A97" s="40"/>
      <c r="B97" s="82" t="s">
        <v>114</v>
      </c>
      <c r="E97" s="118" t="s">
        <v>100</v>
      </c>
      <c r="F97" s="152"/>
      <c r="G97" s="153"/>
      <c r="H97" s="91" cm="1">
        <f t="array" ref="H97">(_xlfn.IFS(F97="Bois et filet",[1]Tarifs!CW6,F97="Lames inclinées",[1]Tarifs!CR6,F97="",[1]Tarifs!CW6))</f>
        <v>790.76923076923072</v>
      </c>
      <c r="I97" s="62"/>
      <c r="J97" s="151"/>
      <c r="K97" s="54">
        <f t="shared" si="15"/>
        <v>0</v>
      </c>
    </row>
    <row r="98" spans="1:14" ht="15" customHeight="1" outlineLevel="1" x14ac:dyDescent="0.25">
      <c r="A98" s="154"/>
      <c r="B98" s="155" t="s">
        <v>115</v>
      </c>
      <c r="C98" s="156"/>
      <c r="D98" s="155"/>
      <c r="E98" s="155"/>
      <c r="F98" s="157"/>
      <c r="G98" s="158"/>
      <c r="H98" s="159">
        <f>ROUND(+[1]Tarifs!DE6,0)</f>
        <v>1091</v>
      </c>
      <c r="I98" s="160"/>
      <c r="J98" s="161"/>
      <c r="K98" s="162">
        <f t="shared" si="15"/>
        <v>0</v>
      </c>
    </row>
    <row r="99" spans="1:14" outlineLevel="1" x14ac:dyDescent="0.25">
      <c r="A99" s="150"/>
      <c r="B99" t="s">
        <v>116</v>
      </c>
      <c r="H99" s="61">
        <f>ROUND(+[1]Tarifs!CD6,0)</f>
        <v>1911</v>
      </c>
      <c r="I99" s="69"/>
      <c r="J99" s="151"/>
      <c r="K99" s="54">
        <f t="shared" si="15"/>
        <v>0</v>
      </c>
    </row>
    <row r="100" spans="1:14" outlineLevel="1" x14ac:dyDescent="0.25">
      <c r="A100" s="150"/>
      <c r="B100" s="24" t="s">
        <v>117</v>
      </c>
      <c r="H100" s="163">
        <f>ROUND(+[1]Tarifs!DH6,0)</f>
        <v>3255</v>
      </c>
      <c r="I100" s="69"/>
      <c r="J100" s="151"/>
      <c r="K100" s="54">
        <f t="shared" si="15"/>
        <v>0</v>
      </c>
    </row>
    <row r="101" spans="1:14" outlineLevel="1" x14ac:dyDescent="0.25">
      <c r="A101" s="150"/>
      <c r="B101" s="24" t="s">
        <v>118</v>
      </c>
      <c r="G101" s="164"/>
      <c r="H101" s="163">
        <f>ROUND(+H100*1.5,0)</f>
        <v>4883</v>
      </c>
      <c r="I101" s="62"/>
      <c r="J101" s="151"/>
      <c r="K101" s="54">
        <f t="shared" si="15"/>
        <v>0</v>
      </c>
    </row>
    <row r="102" spans="1:14" outlineLevel="1" x14ac:dyDescent="0.25">
      <c r="A102" s="165"/>
      <c r="B102" s="156" t="s">
        <v>119</v>
      </c>
      <c r="C102" s="156"/>
      <c r="D102" s="155"/>
      <c r="E102" s="166"/>
      <c r="F102" s="167"/>
      <c r="G102" s="168"/>
      <c r="H102" s="159">
        <f>IF($E$102="Pilotis",IF($I$100&lt;&gt;"",[1]Tarifs!DR6,IF($I$101&lt;&gt;"",[1]Tarifs!DU6,[1]Tarifs!$DO$6)),[1]Tarifs!$DO$6)</f>
        <v>2492</v>
      </c>
      <c r="I102" s="169"/>
      <c r="J102" s="161"/>
      <c r="K102" s="162">
        <f t="shared" si="15"/>
        <v>0</v>
      </c>
    </row>
    <row r="103" spans="1:14" outlineLevel="1" x14ac:dyDescent="0.25">
      <c r="A103" s="150"/>
      <c r="B103" s="24" t="s">
        <v>120</v>
      </c>
      <c r="H103" s="170">
        <f>(248-115)/0.65</f>
        <v>204.61538461538461</v>
      </c>
      <c r="I103" s="69"/>
      <c r="J103" s="151"/>
      <c r="K103" s="54">
        <f t="shared" si="15"/>
        <v>0</v>
      </c>
    </row>
    <row r="104" spans="1:14" outlineLevel="1" x14ac:dyDescent="0.25">
      <c r="A104" s="150"/>
      <c r="B104" s="24" t="s">
        <v>121</v>
      </c>
      <c r="H104" s="61" t="s">
        <v>122</v>
      </c>
      <c r="I104" s="69"/>
      <c r="J104" s="151"/>
      <c r="K104" s="54"/>
    </row>
    <row r="105" spans="1:14" outlineLevel="1" x14ac:dyDescent="0.25">
      <c r="A105" s="150"/>
      <c r="B105" s="171" t="s">
        <v>123</v>
      </c>
      <c r="C105" s="171"/>
      <c r="D105" s="108"/>
      <c r="E105" s="108"/>
      <c r="F105" s="172"/>
      <c r="G105" s="172"/>
      <c r="H105" s="173">
        <f>[1]Tarifs!CL6</f>
        <v>252</v>
      </c>
      <c r="I105" s="174"/>
      <c r="J105" s="175"/>
      <c r="K105" s="54">
        <f>IF(H105&lt;&gt;"non",+J105*H105," ")</f>
        <v>0</v>
      </c>
    </row>
    <row r="106" spans="1:14" outlineLevel="1" x14ac:dyDescent="0.25">
      <c r="A106" s="113" t="s">
        <v>124</v>
      </c>
      <c r="B106" s="114"/>
      <c r="C106" s="114"/>
      <c r="D106" s="114"/>
      <c r="E106" s="114"/>
      <c r="F106" s="114"/>
      <c r="G106" s="114"/>
      <c r="H106" s="148" t="s">
        <v>109</v>
      </c>
      <c r="I106" s="176"/>
      <c r="J106" s="177" t="s">
        <v>17</v>
      </c>
      <c r="K106" s="149" t="s">
        <v>110</v>
      </c>
    </row>
    <row r="107" spans="1:14" ht="15" customHeight="1" outlineLevel="1" x14ac:dyDescent="0.25">
      <c r="A107" s="40"/>
      <c r="B107" t="s">
        <v>125</v>
      </c>
      <c r="H107" s="170">
        <f>ROUND(19*1.05,0)</f>
        <v>20</v>
      </c>
      <c r="I107" s="69"/>
      <c r="J107" s="178"/>
      <c r="K107" s="54">
        <f t="shared" ref="K107" si="16">IF(H107&lt;&gt;"non",+J107*H107," ")</f>
        <v>0</v>
      </c>
      <c r="L107" s="2"/>
      <c r="N107" s="2"/>
    </row>
    <row r="108" spans="1:14" ht="15" customHeight="1" outlineLevel="1" x14ac:dyDescent="0.25">
      <c r="A108" s="40"/>
      <c r="B108" t="s">
        <v>126</v>
      </c>
      <c r="H108" s="179" t="s">
        <v>122</v>
      </c>
      <c r="I108" s="69"/>
      <c r="J108" s="178"/>
      <c r="K108" s="54"/>
      <c r="L108" s="2"/>
      <c r="N108" s="2"/>
    </row>
    <row r="109" spans="1:14" ht="15" customHeight="1" outlineLevel="1" x14ac:dyDescent="0.25">
      <c r="A109" s="40"/>
      <c r="B109" t="s">
        <v>127</v>
      </c>
      <c r="H109" s="179" t="s">
        <v>122</v>
      </c>
      <c r="I109" s="69"/>
      <c r="J109" s="178"/>
      <c r="K109" s="54"/>
      <c r="L109" s="2"/>
      <c r="N109" s="2"/>
    </row>
    <row r="110" spans="1:14" outlineLevel="1" x14ac:dyDescent="0.25">
      <c r="A110" s="180" t="s">
        <v>128</v>
      </c>
      <c r="B110" s="181"/>
      <c r="C110" s="181"/>
      <c r="D110" s="181"/>
      <c r="E110" s="181"/>
      <c r="F110" s="181"/>
      <c r="G110" s="181"/>
      <c r="H110" s="182" t="s">
        <v>109</v>
      </c>
      <c r="I110" s="183"/>
      <c r="J110" s="184" t="s">
        <v>17</v>
      </c>
      <c r="K110" s="185" t="s">
        <v>110</v>
      </c>
    </row>
    <row r="111" spans="1:14" outlineLevel="1" x14ac:dyDescent="0.25">
      <c r="A111" s="40"/>
      <c r="B111" s="186"/>
      <c r="C111" s="186"/>
      <c r="D111" s="186"/>
      <c r="E111" s="186"/>
      <c r="F111" s="186"/>
      <c r="G111" s="187"/>
      <c r="H111" s="69"/>
      <c r="I111" s="69"/>
      <c r="J111" s="151"/>
      <c r="K111" s="59">
        <f>+H111*J111</f>
        <v>0</v>
      </c>
    </row>
    <row r="112" spans="1:14" outlineLevel="1" x14ac:dyDescent="0.25">
      <c r="A112" s="40"/>
      <c r="B112" s="186"/>
      <c r="C112" s="186"/>
      <c r="D112" s="186"/>
      <c r="E112" s="186"/>
      <c r="F112" s="186"/>
      <c r="G112" s="187"/>
      <c r="H112" s="74"/>
      <c r="I112" s="69"/>
      <c r="J112" s="151"/>
      <c r="K112" s="59">
        <f>+H112*J112</f>
        <v>0</v>
      </c>
    </row>
    <row r="113" spans="1:11" ht="15.75" outlineLevel="1" thickBot="1" x14ac:dyDescent="0.3">
      <c r="A113" s="40"/>
      <c r="B113" s="188"/>
      <c r="C113" s="188"/>
      <c r="D113" s="188"/>
      <c r="E113" s="188"/>
      <c r="F113" s="188"/>
      <c r="G113" s="189"/>
      <c r="H113" s="74"/>
      <c r="I113" s="190"/>
      <c r="J113" s="191"/>
      <c r="K113" s="192">
        <f>+H113*J113</f>
        <v>0</v>
      </c>
    </row>
    <row r="114" spans="1:11" ht="15.75" outlineLevel="1" thickTop="1" x14ac:dyDescent="0.25">
      <c r="A114" s="193"/>
      <c r="B114" s="194" t="s">
        <v>129</v>
      </c>
      <c r="C114" s="194"/>
      <c r="D114" s="194"/>
      <c r="E114" s="194"/>
      <c r="F114" s="194"/>
      <c r="G114" s="194"/>
      <c r="H114" s="194"/>
      <c r="I114" s="195"/>
      <c r="J114" s="196"/>
      <c r="K114" s="196">
        <f>SUM(K94:K113)</f>
        <v>0</v>
      </c>
    </row>
    <row r="115" spans="1:11" ht="6" customHeight="1" outlineLevel="1" x14ac:dyDescent="0.25">
      <c r="A115" s="197"/>
      <c r="B115" s="198"/>
      <c r="C115" s="199"/>
      <c r="D115" s="198"/>
      <c r="E115" s="198"/>
      <c r="F115" s="198"/>
      <c r="G115" s="198"/>
      <c r="H115" s="198"/>
      <c r="I115" s="198"/>
      <c r="J115" s="200"/>
      <c r="K115" s="201"/>
    </row>
    <row r="116" spans="1:11" ht="15.75" outlineLevel="1" x14ac:dyDescent="0.25">
      <c r="A116" s="202" t="s">
        <v>130</v>
      </c>
      <c r="B116" s="202"/>
      <c r="C116" s="202"/>
      <c r="D116" s="202"/>
      <c r="E116" s="202"/>
      <c r="F116" s="202"/>
      <c r="G116" s="202"/>
      <c r="H116" s="202"/>
      <c r="I116" s="202"/>
      <c r="J116" s="202"/>
      <c r="K116" s="203" t="s">
        <v>232</v>
      </c>
    </row>
    <row r="117" spans="1:11" ht="15.75" outlineLevel="1" x14ac:dyDescent="0.25">
      <c r="A117" s="202" t="s">
        <v>131</v>
      </c>
      <c r="B117" s="202"/>
      <c r="C117" s="202"/>
      <c r="D117" s="202"/>
      <c r="E117" s="202"/>
      <c r="F117" s="202"/>
      <c r="G117" s="202"/>
      <c r="H117" s="202"/>
      <c r="I117" s="202"/>
      <c r="J117" s="202"/>
      <c r="K117" s="203" t="s">
        <v>232</v>
      </c>
    </row>
    <row r="118" spans="1:11" ht="15.6" customHeight="1" outlineLevel="1" x14ac:dyDescent="0.25">
      <c r="A118" s="204"/>
      <c r="B118" s="205"/>
      <c r="C118" s="206"/>
      <c r="D118" s="205"/>
      <c r="E118" s="205"/>
      <c r="F118" s="207"/>
      <c r="G118" s="207"/>
      <c r="H118" s="207"/>
      <c r="I118" s="207"/>
      <c r="J118" s="208"/>
      <c r="K118" s="208"/>
    </row>
    <row r="119" spans="1:11" ht="15" customHeight="1" outlineLevel="1" x14ac:dyDescent="0.25">
      <c r="A119" s="65"/>
      <c r="B119" s="209" t="s">
        <v>132</v>
      </c>
      <c r="C119" s="210"/>
      <c r="D119" s="211"/>
      <c r="E119" s="212" t="s">
        <v>133</v>
      </c>
      <c r="F119" s="213"/>
      <c r="G119" s="214"/>
      <c r="H119" s="215" t="s">
        <v>134</v>
      </c>
      <c r="I119" s="216"/>
      <c r="J119" s="217"/>
      <c r="K119" s="218"/>
    </row>
    <row r="120" spans="1:11" ht="15" customHeight="1" outlineLevel="1" x14ac:dyDescent="0.25">
      <c r="A120" s="64"/>
      <c r="B120" s="219" t="s">
        <v>135</v>
      </c>
      <c r="C120" s="220"/>
      <c r="D120" s="221"/>
      <c r="E120" s="222"/>
      <c r="F120" s="223"/>
      <c r="G120" s="49"/>
      <c r="H120" s="224"/>
      <c r="I120" s="225"/>
      <c r="J120" s="226"/>
      <c r="K120" s="218"/>
    </row>
    <row r="121" spans="1:11" ht="15" customHeight="1" outlineLevel="1" x14ac:dyDescent="0.25">
      <c r="A121" s="227"/>
      <c r="B121" s="228"/>
      <c r="C121" s="229"/>
      <c r="D121" s="230"/>
      <c r="E121" s="231"/>
      <c r="F121" s="232"/>
      <c r="G121" s="49"/>
      <c r="H121" s="233"/>
      <c r="I121" s="234"/>
      <c r="J121" s="235"/>
      <c r="K121" s="218"/>
    </row>
    <row r="122" spans="1:11" ht="15" customHeight="1" outlineLevel="1" x14ac:dyDescent="0.25">
      <c r="A122" s="227"/>
      <c r="B122" s="228"/>
      <c r="C122" s="229"/>
      <c r="D122" s="230"/>
      <c r="E122" s="231"/>
      <c r="F122" s="232"/>
      <c r="G122" s="49"/>
      <c r="H122" s="233"/>
      <c r="I122" s="234"/>
      <c r="J122" s="235"/>
      <c r="K122" s="218"/>
    </row>
    <row r="123" spans="1:11" ht="17.25" customHeight="1" outlineLevel="1" x14ac:dyDescent="0.25">
      <c r="A123" s="49"/>
      <c r="B123" s="236"/>
      <c r="C123" s="237"/>
      <c r="D123" s="238"/>
      <c r="E123" s="239"/>
      <c r="F123" s="240"/>
      <c r="G123" s="49"/>
      <c r="H123" s="241"/>
      <c r="I123" s="242"/>
      <c r="J123" s="243"/>
      <c r="K123" s="49"/>
    </row>
    <row r="124" spans="1:11" ht="17.25" customHeight="1" outlineLevel="1" x14ac:dyDescent="0.25">
      <c r="A124" s="49"/>
      <c r="B124" s="227"/>
      <c r="C124" s="227"/>
      <c r="D124" s="227"/>
      <c r="E124" s="49"/>
      <c r="F124" s="49"/>
      <c r="G124" s="49"/>
      <c r="H124" s="244"/>
      <c r="I124" s="244"/>
      <c r="J124" s="244"/>
      <c r="K124" s="49"/>
    </row>
    <row r="125" spans="1:11" ht="17.25" customHeight="1" outlineLevel="1" x14ac:dyDescent="0.25">
      <c r="A125" s="49"/>
      <c r="B125" s="227"/>
      <c r="C125" s="227"/>
      <c r="D125" s="227"/>
      <c r="E125" s="49"/>
      <c r="F125" s="49"/>
      <c r="G125" s="49"/>
      <c r="H125" s="244"/>
      <c r="I125" s="244"/>
      <c r="J125" s="244"/>
      <c r="K125" s="49"/>
    </row>
    <row r="126" spans="1:11" ht="17.25" customHeight="1" outlineLevel="1" x14ac:dyDescent="0.25">
      <c r="A126" s="49"/>
      <c r="B126" s="227"/>
      <c r="C126" s="227"/>
      <c r="D126" s="227"/>
      <c r="E126" s="49"/>
      <c r="F126" s="49"/>
      <c r="G126" s="49"/>
      <c r="H126" s="244"/>
      <c r="I126" s="244"/>
      <c r="J126" s="244"/>
      <c r="K126" s="49"/>
    </row>
    <row r="128" spans="1:11" ht="18.75" x14ac:dyDescent="0.3">
      <c r="B128" s="245" t="s">
        <v>136</v>
      </c>
      <c r="C128" s="245"/>
      <c r="D128" s="245"/>
      <c r="E128" s="245"/>
      <c r="F128" s="245"/>
      <c r="G128" s="245"/>
      <c r="H128" s="245"/>
      <c r="I128" s="245"/>
      <c r="J128" s="245"/>
      <c r="K128" s="245"/>
    </row>
    <row r="130" spans="2:10" x14ac:dyDescent="0.25">
      <c r="B130" s="246" t="s">
        <v>137</v>
      </c>
      <c r="C130" s="247" t="s">
        <v>138</v>
      </c>
      <c r="D130" s="247"/>
      <c r="E130" s="248" t="s">
        <v>139</v>
      </c>
      <c r="F130"/>
      <c r="G130" s="249" t="s">
        <v>140</v>
      </c>
      <c r="H130" s="250"/>
      <c r="I130" s="251">
        <v>1</v>
      </c>
      <c r="J130" s="252"/>
    </row>
    <row r="131" spans="2:10" x14ac:dyDescent="0.25">
      <c r="B131" s="253"/>
      <c r="C131" s="254" t="s">
        <v>141</v>
      </c>
      <c r="D131" s="254"/>
      <c r="E131" s="255" t="s">
        <v>142</v>
      </c>
      <c r="F131"/>
      <c r="G131" s="249" t="s">
        <v>143</v>
      </c>
      <c r="H131" s="250"/>
      <c r="I131" s="256" t="s">
        <v>144</v>
      </c>
      <c r="J131" s="257"/>
    </row>
    <row r="132" spans="2:10" x14ac:dyDescent="0.25">
      <c r="B132" s="253"/>
      <c r="C132" s="254" t="s">
        <v>145</v>
      </c>
      <c r="D132" s="254"/>
      <c r="E132" s="255">
        <v>2</v>
      </c>
      <c r="F132"/>
      <c r="G132" s="258" t="s">
        <v>146</v>
      </c>
      <c r="H132" s="259"/>
      <c r="I132" s="260" t="s">
        <v>147</v>
      </c>
      <c r="J132" s="261"/>
    </row>
    <row r="133" spans="2:10" x14ac:dyDescent="0.25">
      <c r="B133" s="262"/>
      <c r="C133" s="254" t="s">
        <v>148</v>
      </c>
      <c r="D133" s="254"/>
      <c r="E133" s="255">
        <v>5</v>
      </c>
      <c r="F133"/>
      <c r="G133" s="263" t="s">
        <v>149</v>
      </c>
      <c r="H133" s="264"/>
      <c r="I133" s="256" t="s">
        <v>150</v>
      </c>
      <c r="J133" s="257"/>
    </row>
    <row r="134" spans="2:10" ht="6.6" customHeight="1" x14ac:dyDescent="0.25"/>
    <row r="135" spans="2:10" ht="13.9" customHeight="1" x14ac:dyDescent="0.25"/>
    <row r="136" spans="2:10" x14ac:dyDescent="0.25">
      <c r="B136" s="265" t="s">
        <v>151</v>
      </c>
      <c r="C136" s="266" t="s">
        <v>21</v>
      </c>
      <c r="D136" s="266"/>
      <c r="E136" s="254" t="s">
        <v>152</v>
      </c>
      <c r="F136" s="254"/>
      <c r="G136" s="254"/>
      <c r="H136" s="254"/>
      <c r="I136" s="267"/>
      <c r="J136" s="268"/>
    </row>
    <row r="137" spans="2:10" x14ac:dyDescent="0.25">
      <c r="B137" s="269"/>
      <c r="C137" s="270"/>
      <c r="D137" s="270"/>
      <c r="E137" s="271" t="s">
        <v>153</v>
      </c>
      <c r="F137" s="271"/>
      <c r="G137" s="271"/>
      <c r="H137" s="271"/>
      <c r="J137" s="268"/>
    </row>
    <row r="138" spans="2:10" x14ac:dyDescent="0.25">
      <c r="B138" s="269"/>
      <c r="C138" s="270"/>
      <c r="D138" s="270"/>
      <c r="E138" s="272" t="s">
        <v>154</v>
      </c>
      <c r="F138" s="272"/>
      <c r="G138" s="272"/>
      <c r="H138" s="272"/>
      <c r="I138" s="272"/>
      <c r="J138" s="272"/>
    </row>
    <row r="139" spans="2:10" x14ac:dyDescent="0.25">
      <c r="B139" s="269"/>
      <c r="C139" s="266" t="s">
        <v>155</v>
      </c>
      <c r="D139" s="266"/>
      <c r="E139" s="272" t="s">
        <v>156</v>
      </c>
      <c r="F139" s="272"/>
      <c r="G139" s="272"/>
      <c r="H139" s="272"/>
      <c r="I139" s="267"/>
      <c r="J139" s="268"/>
    </row>
    <row r="140" spans="2:10" x14ac:dyDescent="0.25">
      <c r="B140" s="269"/>
      <c r="C140" s="270"/>
      <c r="D140" s="270"/>
      <c r="E140" s="272" t="s">
        <v>157</v>
      </c>
      <c r="F140" s="272"/>
      <c r="G140" s="272"/>
      <c r="H140" s="272"/>
      <c r="J140" s="268"/>
    </row>
    <row r="141" spans="2:10" x14ac:dyDescent="0.25">
      <c r="B141" s="269"/>
      <c r="C141" s="273"/>
      <c r="D141" s="273"/>
      <c r="E141" s="272" t="s">
        <v>158</v>
      </c>
      <c r="F141" s="272"/>
      <c r="G141" s="272"/>
      <c r="H141" s="272"/>
      <c r="I141" s="267"/>
      <c r="J141" s="268"/>
    </row>
    <row r="142" spans="2:10" x14ac:dyDescent="0.25">
      <c r="B142" s="269"/>
      <c r="C142" s="274" t="s">
        <v>159</v>
      </c>
      <c r="D142" s="274"/>
      <c r="E142" s="254" t="s">
        <v>160</v>
      </c>
      <c r="F142" s="254"/>
      <c r="G142" s="254"/>
      <c r="H142" s="275"/>
      <c r="J142" s="268"/>
    </row>
    <row r="143" spans="2:10" x14ac:dyDescent="0.25">
      <c r="B143" s="269"/>
      <c r="C143" s="274" t="s">
        <v>161</v>
      </c>
      <c r="D143" s="274"/>
      <c r="E143" s="272" t="s">
        <v>162</v>
      </c>
      <c r="F143" s="272"/>
      <c r="G143" s="272"/>
      <c r="H143" s="272"/>
      <c r="I143" s="267"/>
      <c r="J143" s="268"/>
    </row>
    <row r="144" spans="2:10" x14ac:dyDescent="0.25">
      <c r="B144" s="269"/>
      <c r="C144" s="266" t="s">
        <v>163</v>
      </c>
      <c r="D144" s="266"/>
      <c r="E144" s="272" t="s">
        <v>164</v>
      </c>
      <c r="F144" s="272"/>
      <c r="G144" s="272"/>
      <c r="H144" s="272"/>
      <c r="J144" s="268"/>
    </row>
    <row r="145" spans="2:10" x14ac:dyDescent="0.25">
      <c r="B145" s="276"/>
      <c r="C145" s="273"/>
      <c r="D145" s="273"/>
      <c r="E145" s="272" t="s">
        <v>165</v>
      </c>
      <c r="F145" s="272"/>
      <c r="G145" s="272"/>
      <c r="H145" s="272"/>
      <c r="I145" s="267"/>
      <c r="J145" s="268"/>
    </row>
    <row r="146" spans="2:10" ht="7.15" customHeight="1" x14ac:dyDescent="0.25">
      <c r="B146" s="277"/>
      <c r="J146" s="268"/>
    </row>
    <row r="147" spans="2:10" ht="16.149999999999999" customHeight="1" x14ac:dyDescent="0.25">
      <c r="B147" s="265" t="s">
        <v>166</v>
      </c>
      <c r="C147" s="266" t="s">
        <v>167</v>
      </c>
      <c r="D147" s="266"/>
      <c r="E147" s="254" t="s">
        <v>168</v>
      </c>
      <c r="F147" s="254"/>
      <c r="G147" s="254"/>
      <c r="H147" s="254"/>
      <c r="I147" s="267"/>
      <c r="J147" s="268"/>
    </row>
    <row r="148" spans="2:10" x14ac:dyDescent="0.25">
      <c r="B148" s="276"/>
      <c r="C148" s="274" t="s">
        <v>169</v>
      </c>
      <c r="D148" s="274"/>
      <c r="E148" s="278" t="s">
        <v>170</v>
      </c>
      <c r="F148" s="278"/>
      <c r="G148" s="279"/>
      <c r="H148" s="280"/>
      <c r="I148" s="267"/>
      <c r="J148" s="268"/>
    </row>
    <row r="149" spans="2:10" ht="7.15" customHeight="1" x14ac:dyDescent="0.25">
      <c r="B149" s="281"/>
      <c r="C149" s="282"/>
    </row>
    <row r="150" spans="2:10" ht="12.6" customHeight="1" x14ac:dyDescent="0.25">
      <c r="B150" s="265" t="s">
        <v>171</v>
      </c>
      <c r="C150" s="251" t="s">
        <v>172</v>
      </c>
      <c r="D150" s="274"/>
      <c r="E150" s="272" t="s">
        <v>173</v>
      </c>
      <c r="F150" s="272"/>
      <c r="G150" s="272"/>
      <c r="H150" s="272"/>
      <c r="I150" s="267"/>
      <c r="J150" s="268"/>
    </row>
    <row r="151" spans="2:10" x14ac:dyDescent="0.25">
      <c r="B151" s="269"/>
      <c r="C151" s="274" t="s">
        <v>174</v>
      </c>
      <c r="D151" s="274"/>
      <c r="E151" s="272" t="s">
        <v>175</v>
      </c>
      <c r="F151" s="272"/>
      <c r="G151" s="272"/>
      <c r="H151" s="272"/>
      <c r="I151" s="267"/>
      <c r="J151" s="268"/>
    </row>
    <row r="152" spans="2:10" x14ac:dyDescent="0.25">
      <c r="B152" s="269"/>
      <c r="C152" s="251" t="s">
        <v>176</v>
      </c>
      <c r="D152" s="274"/>
      <c r="E152" s="272" t="s">
        <v>177</v>
      </c>
      <c r="F152" s="272"/>
      <c r="G152" s="272"/>
      <c r="H152" s="272"/>
      <c r="I152" s="267"/>
      <c r="J152" s="268"/>
    </row>
    <row r="153" spans="2:10" x14ac:dyDescent="0.25">
      <c r="B153" s="269"/>
      <c r="C153" s="283" t="s">
        <v>178</v>
      </c>
      <c r="D153" s="283"/>
      <c r="E153" s="284" t="s">
        <v>179</v>
      </c>
      <c r="F153" s="285"/>
      <c r="G153" s="285"/>
      <c r="H153" s="25"/>
    </row>
    <row r="154" spans="2:10" x14ac:dyDescent="0.25">
      <c r="B154" s="276"/>
      <c r="C154" s="286"/>
      <c r="D154" s="286"/>
      <c r="E154" s="278" t="s">
        <v>180</v>
      </c>
      <c r="F154" s="278"/>
      <c r="G154" s="278"/>
      <c r="H154" s="287"/>
      <c r="I154" s="267"/>
      <c r="J154" s="268"/>
    </row>
    <row r="155" spans="2:10" ht="6.6" customHeight="1" x14ac:dyDescent="0.25">
      <c r="J155" s="288"/>
    </row>
    <row r="156" spans="2:10" ht="14.45" customHeight="1" x14ac:dyDescent="0.25">
      <c r="B156" s="289" t="s">
        <v>181</v>
      </c>
      <c r="C156" s="290" t="s">
        <v>182</v>
      </c>
      <c r="D156" s="290"/>
      <c r="E156" s="278" t="s">
        <v>183</v>
      </c>
      <c r="F156" s="291"/>
      <c r="G156" s="291"/>
      <c r="H156" s="267"/>
      <c r="I156" s="267"/>
      <c r="J156" s="268"/>
    </row>
    <row r="157" spans="2:10" x14ac:dyDescent="0.25">
      <c r="B157" s="292"/>
      <c r="C157" s="283"/>
      <c r="D157" s="283"/>
      <c r="E157" s="278" t="s">
        <v>184</v>
      </c>
      <c r="F157" s="291"/>
      <c r="G157" s="291"/>
      <c r="H157" s="267"/>
      <c r="I157" s="267"/>
      <c r="J157" s="268"/>
    </row>
    <row r="158" spans="2:10" x14ac:dyDescent="0.25">
      <c r="B158" s="292"/>
      <c r="C158" s="286"/>
      <c r="D158" s="286"/>
      <c r="E158" s="285" t="s">
        <v>185</v>
      </c>
      <c r="I158" s="267"/>
      <c r="J158" s="268"/>
    </row>
    <row r="159" spans="2:10" x14ac:dyDescent="0.25">
      <c r="B159" s="292"/>
      <c r="C159" s="290" t="s">
        <v>186</v>
      </c>
      <c r="D159" s="290"/>
      <c r="E159" s="278" t="s">
        <v>187</v>
      </c>
      <c r="F159" s="291"/>
      <c r="G159" s="291"/>
      <c r="H159" s="267"/>
      <c r="I159" s="267"/>
      <c r="J159" s="268"/>
    </row>
    <row r="160" spans="2:10" x14ac:dyDescent="0.25">
      <c r="B160" s="292"/>
      <c r="C160" s="283"/>
      <c r="D160" s="283"/>
      <c r="E160" s="278" t="s">
        <v>188</v>
      </c>
      <c r="F160" s="291"/>
      <c r="G160" s="291"/>
      <c r="H160" s="267"/>
      <c r="I160" s="267"/>
      <c r="J160" s="268"/>
    </row>
    <row r="161" spans="2:10" x14ac:dyDescent="0.25">
      <c r="B161" s="292"/>
      <c r="C161" s="266" t="s">
        <v>189</v>
      </c>
      <c r="D161" s="266"/>
      <c r="E161" s="285" t="s">
        <v>190</v>
      </c>
      <c r="F161"/>
      <c r="G161"/>
      <c r="I161" s="293"/>
      <c r="J161" s="268"/>
    </row>
    <row r="162" spans="2:10" x14ac:dyDescent="0.25">
      <c r="B162" s="292"/>
      <c r="C162" s="273"/>
      <c r="D162" s="273"/>
      <c r="E162" s="278" t="s">
        <v>191</v>
      </c>
      <c r="F162" s="294"/>
      <c r="G162" s="294"/>
      <c r="H162" s="267"/>
      <c r="I162" s="267"/>
      <c r="J162" s="268"/>
    </row>
    <row r="163" spans="2:10" x14ac:dyDescent="0.25">
      <c r="B163" s="292"/>
      <c r="C163" s="295" t="s">
        <v>192</v>
      </c>
      <c r="D163" s="295"/>
      <c r="E163" s="285" t="s">
        <v>193</v>
      </c>
      <c r="F163"/>
      <c r="G163"/>
      <c r="I163" s="267"/>
      <c r="J163" s="268"/>
    </row>
    <row r="164" spans="2:10" x14ac:dyDescent="0.25">
      <c r="B164" s="292"/>
      <c r="C164" s="296"/>
      <c r="D164" s="296"/>
      <c r="E164" s="278" t="s">
        <v>194</v>
      </c>
      <c r="F164" s="294"/>
      <c r="G164" s="294"/>
      <c r="H164" s="267"/>
      <c r="I164" s="267"/>
      <c r="J164" s="268"/>
    </row>
    <row r="165" spans="2:10" x14ac:dyDescent="0.25">
      <c r="B165" s="292"/>
      <c r="C165" s="296"/>
      <c r="D165" s="296"/>
      <c r="E165" s="285" t="s">
        <v>195</v>
      </c>
      <c r="F165"/>
      <c r="G165"/>
      <c r="I165" s="267"/>
      <c r="J165" s="268"/>
    </row>
    <row r="166" spans="2:10" x14ac:dyDescent="0.25">
      <c r="B166" s="292"/>
      <c r="C166" s="296"/>
      <c r="D166" s="296"/>
      <c r="E166" s="254" t="s">
        <v>196</v>
      </c>
      <c r="F166" s="294"/>
      <c r="G166" s="294"/>
      <c r="H166" s="267"/>
      <c r="I166" s="267"/>
      <c r="J166" s="268"/>
    </row>
    <row r="167" spans="2:10" x14ac:dyDescent="0.25">
      <c r="B167" s="292"/>
      <c r="C167" s="296"/>
      <c r="D167" s="296"/>
      <c r="E167" s="285" t="s">
        <v>197</v>
      </c>
      <c r="F167"/>
      <c r="G167"/>
      <c r="I167" s="267"/>
      <c r="J167" s="268"/>
    </row>
    <row r="168" spans="2:10" x14ac:dyDescent="0.25">
      <c r="B168" s="292"/>
      <c r="C168" s="297"/>
      <c r="D168" s="297"/>
      <c r="E168" s="254" t="s">
        <v>198</v>
      </c>
      <c r="F168" s="294"/>
      <c r="G168" s="294" t="s">
        <v>199</v>
      </c>
      <c r="H168" s="267" t="s">
        <v>200</v>
      </c>
      <c r="I168" s="287" t="s">
        <v>201</v>
      </c>
      <c r="J168" s="268"/>
    </row>
    <row r="169" spans="2:10" x14ac:dyDescent="0.25">
      <c r="B169" s="292"/>
      <c r="C169" s="297"/>
      <c r="D169" s="297"/>
      <c r="E169" s="278" t="s">
        <v>202</v>
      </c>
      <c r="F169" s="294"/>
      <c r="G169" s="294"/>
      <c r="H169" s="267"/>
      <c r="I169" s="267"/>
      <c r="J169" s="268"/>
    </row>
    <row r="170" spans="2:10" x14ac:dyDescent="0.25">
      <c r="B170" s="292"/>
      <c r="C170" s="297"/>
      <c r="D170" s="297"/>
      <c r="E170" s="278" t="s">
        <v>203</v>
      </c>
      <c r="F170" s="294"/>
      <c r="G170" s="294"/>
      <c r="H170" s="267"/>
      <c r="I170" s="267"/>
      <c r="J170" s="268"/>
    </row>
    <row r="171" spans="2:10" x14ac:dyDescent="0.25">
      <c r="B171" s="292"/>
      <c r="C171" s="298" t="s">
        <v>204</v>
      </c>
      <c r="D171" s="298"/>
      <c r="E171" s="285" t="s">
        <v>205</v>
      </c>
      <c r="F171"/>
      <c r="G171"/>
      <c r="I171" s="267"/>
      <c r="J171" s="268"/>
    </row>
    <row r="172" spans="2:10" x14ac:dyDescent="0.25">
      <c r="B172" s="292"/>
      <c r="C172" s="299"/>
      <c r="D172" s="299"/>
      <c r="E172" s="278" t="s">
        <v>206</v>
      </c>
      <c r="F172" s="294"/>
      <c r="G172" s="294"/>
      <c r="H172" s="267"/>
      <c r="I172" s="267"/>
      <c r="J172" s="268"/>
    </row>
    <row r="173" spans="2:10" x14ac:dyDescent="0.25">
      <c r="B173" s="292"/>
      <c r="C173" s="299"/>
      <c r="D173" s="299"/>
      <c r="E173" s="285" t="s">
        <v>207</v>
      </c>
      <c r="F173"/>
      <c r="G173"/>
      <c r="I173" s="267"/>
      <c r="J173" s="268"/>
    </row>
    <row r="174" spans="2:10" x14ac:dyDescent="0.25">
      <c r="B174" s="292"/>
      <c r="C174" s="299"/>
      <c r="D174" s="299"/>
      <c r="E174" s="278" t="s">
        <v>208</v>
      </c>
      <c r="F174" s="294"/>
      <c r="G174" s="294"/>
      <c r="H174" s="267"/>
      <c r="I174" s="267"/>
      <c r="J174" s="268"/>
    </row>
    <row r="175" spans="2:10" ht="14.45" customHeight="1" x14ac:dyDescent="0.25">
      <c r="B175" s="292"/>
      <c r="C175" s="290" t="s">
        <v>209</v>
      </c>
      <c r="D175" s="290"/>
      <c r="E175" s="278" t="s">
        <v>210</v>
      </c>
      <c r="F175" s="291"/>
      <c r="G175" s="291"/>
      <c r="H175" s="267"/>
      <c r="I175" s="267"/>
      <c r="J175" s="268"/>
    </row>
    <row r="176" spans="2:10" x14ac:dyDescent="0.25">
      <c r="B176" s="292"/>
      <c r="C176" s="283"/>
      <c r="D176" s="283"/>
      <c r="E176" s="278" t="s">
        <v>211</v>
      </c>
      <c r="F176" s="291"/>
      <c r="G176" s="291"/>
      <c r="H176" s="267"/>
      <c r="I176" s="267"/>
      <c r="J176" s="268"/>
    </row>
    <row r="177" spans="2:13" x14ac:dyDescent="0.25">
      <c r="B177" s="292"/>
      <c r="C177" s="283"/>
      <c r="D177" s="283"/>
      <c r="E177" s="284" t="s">
        <v>212</v>
      </c>
      <c r="I177" s="267"/>
      <c r="J177" s="268"/>
    </row>
    <row r="178" spans="2:13" x14ac:dyDescent="0.25">
      <c r="B178" s="292"/>
      <c r="C178" s="283"/>
      <c r="D178" s="283"/>
      <c r="E178" s="278" t="s">
        <v>213</v>
      </c>
      <c r="F178" s="291"/>
      <c r="G178" s="291"/>
      <c r="H178" s="267"/>
      <c r="I178" s="267"/>
      <c r="J178" s="268"/>
    </row>
    <row r="179" spans="2:13" x14ac:dyDescent="0.25">
      <c r="B179" s="292"/>
      <c r="C179" s="286"/>
      <c r="D179" s="286"/>
      <c r="E179" s="285" t="s">
        <v>214</v>
      </c>
      <c r="I179" s="267"/>
      <c r="J179" s="268"/>
    </row>
    <row r="180" spans="2:13" x14ac:dyDescent="0.25">
      <c r="B180" s="292"/>
      <c r="C180" s="298" t="s">
        <v>215</v>
      </c>
      <c r="D180" s="298"/>
      <c r="E180" s="278" t="s">
        <v>216</v>
      </c>
      <c r="F180" s="291"/>
      <c r="G180" s="291"/>
      <c r="H180" s="267"/>
      <c r="I180" s="267"/>
      <c r="J180" s="268"/>
    </row>
    <row r="181" spans="2:13" ht="14.45" customHeight="1" x14ac:dyDescent="0.25">
      <c r="B181" s="292"/>
      <c r="C181" s="299"/>
      <c r="D181" s="299"/>
      <c r="E181" s="300" t="s">
        <v>217</v>
      </c>
      <c r="F181" s="300"/>
      <c r="G181" s="300"/>
      <c r="H181" s="300"/>
      <c r="I181" s="300"/>
      <c r="J181" s="300"/>
      <c r="K181" s="301"/>
      <c r="L181" s="301"/>
      <c r="M181" s="301"/>
    </row>
    <row r="182" spans="2:13" ht="14.45" customHeight="1" x14ac:dyDescent="0.25">
      <c r="B182" s="292"/>
      <c r="C182" s="299"/>
      <c r="D182" s="299"/>
      <c r="E182" s="302" t="s">
        <v>218</v>
      </c>
      <c r="F182" s="302"/>
      <c r="G182" s="302"/>
      <c r="H182" s="302"/>
      <c r="I182" s="302"/>
      <c r="J182" s="302"/>
      <c r="K182" s="301"/>
      <c r="L182" s="303"/>
      <c r="M182" s="303"/>
    </row>
    <row r="183" spans="2:13" x14ac:dyDescent="0.25">
      <c r="B183" s="292"/>
      <c r="C183" s="299"/>
      <c r="D183" s="299"/>
      <c r="E183" s="278" t="s">
        <v>219</v>
      </c>
      <c r="F183" s="291"/>
      <c r="G183" s="291"/>
      <c r="H183" s="267"/>
      <c r="I183" s="267"/>
      <c r="J183" s="268"/>
    </row>
    <row r="184" spans="2:13" x14ac:dyDescent="0.25">
      <c r="B184" s="292"/>
      <c r="C184" s="299"/>
      <c r="D184" s="299"/>
      <c r="E184" s="278" t="s">
        <v>220</v>
      </c>
      <c r="F184" s="291"/>
      <c r="G184" s="291"/>
      <c r="H184" s="267"/>
      <c r="I184" s="267"/>
      <c r="J184" s="268"/>
    </row>
    <row r="185" spans="2:13" x14ac:dyDescent="0.25">
      <c r="B185" s="292"/>
      <c r="C185" s="304"/>
      <c r="D185" s="304"/>
      <c r="E185" s="285" t="s">
        <v>221</v>
      </c>
      <c r="I185" s="293"/>
      <c r="J185" s="268"/>
    </row>
    <row r="186" spans="2:13" ht="14.45" customHeight="1" x14ac:dyDescent="0.25">
      <c r="B186" s="292"/>
      <c r="C186" s="298" t="s">
        <v>222</v>
      </c>
      <c r="D186" s="298"/>
      <c r="E186" s="278" t="s">
        <v>223</v>
      </c>
      <c r="F186" s="291"/>
      <c r="G186" s="291"/>
      <c r="H186" s="267"/>
      <c r="I186" s="267"/>
      <c r="J186" s="268"/>
    </row>
    <row r="187" spans="2:13" ht="14.45" customHeight="1" x14ac:dyDescent="0.25">
      <c r="B187" s="292"/>
      <c r="C187" s="299"/>
      <c r="D187" s="299"/>
      <c r="E187" s="285" t="s">
        <v>224</v>
      </c>
      <c r="F187" s="301"/>
      <c r="G187" s="301"/>
      <c r="H187" s="305"/>
      <c r="I187" s="306"/>
      <c r="J187" s="268"/>
      <c r="K187" s="301"/>
    </row>
    <row r="188" spans="2:13" ht="14.45" customHeight="1" x14ac:dyDescent="0.25">
      <c r="B188" s="292"/>
      <c r="C188" s="299"/>
      <c r="D188" s="299"/>
      <c r="E188" s="278" t="s">
        <v>225</v>
      </c>
      <c r="F188" s="306"/>
      <c r="G188" s="306"/>
      <c r="H188" s="307"/>
      <c r="I188" s="306"/>
      <c r="J188" s="268"/>
      <c r="K188" s="301"/>
    </row>
    <row r="189" spans="2:13" ht="14.45" customHeight="1" x14ac:dyDescent="0.25">
      <c r="B189" s="292"/>
      <c r="C189" s="299"/>
      <c r="D189" s="299"/>
      <c r="E189" s="285" t="s">
        <v>226</v>
      </c>
      <c r="I189" s="267"/>
      <c r="J189" s="268"/>
    </row>
    <row r="190" spans="2:13" ht="14.45" customHeight="1" x14ac:dyDescent="0.25">
      <c r="B190" s="292"/>
      <c r="C190" s="308" t="s">
        <v>227</v>
      </c>
      <c r="D190" s="308"/>
      <c r="E190" s="254" t="s">
        <v>228</v>
      </c>
      <c r="F190" s="291"/>
      <c r="G190" s="291"/>
      <c r="H190" s="267"/>
      <c r="I190" s="267"/>
      <c r="J190" s="268"/>
    </row>
    <row r="191" spans="2:13" ht="13.9" customHeight="1" x14ac:dyDescent="0.25">
      <c r="B191" s="292"/>
      <c r="C191" s="309"/>
      <c r="D191" s="309"/>
      <c r="E191" s="285" t="s">
        <v>229</v>
      </c>
    </row>
    <row r="192" spans="2:13" ht="15.6" customHeight="1" x14ac:dyDescent="0.25">
      <c r="B192" s="310"/>
      <c r="E192" s="311" t="s">
        <v>230</v>
      </c>
      <c r="F192" s="312"/>
      <c r="G192" s="312"/>
      <c r="H192" s="313"/>
      <c r="I192" s="313"/>
      <c r="J192" s="288"/>
    </row>
  </sheetData>
  <mergeCells count="97">
    <mergeCell ref="E181:J181"/>
    <mergeCell ref="E182:J182"/>
    <mergeCell ref="C186:D189"/>
    <mergeCell ref="C190:D191"/>
    <mergeCell ref="B156:B192"/>
    <mergeCell ref="C156:D158"/>
    <mergeCell ref="C159:D160"/>
    <mergeCell ref="C161:D162"/>
    <mergeCell ref="C163:D167"/>
    <mergeCell ref="C171:D174"/>
    <mergeCell ref="C175:D179"/>
    <mergeCell ref="C180:D185"/>
    <mergeCell ref="B150:B154"/>
    <mergeCell ref="C150:D150"/>
    <mergeCell ref="E150:H150"/>
    <mergeCell ref="C151:D151"/>
    <mergeCell ref="E151:H151"/>
    <mergeCell ref="C152:D152"/>
    <mergeCell ref="E152:H152"/>
    <mergeCell ref="C153:D154"/>
    <mergeCell ref="E143:H143"/>
    <mergeCell ref="C144:D145"/>
    <mergeCell ref="E144:H144"/>
    <mergeCell ref="E145:H145"/>
    <mergeCell ref="B147:B148"/>
    <mergeCell ref="C147:D147"/>
    <mergeCell ref="C148:D148"/>
    <mergeCell ref="B136:B145"/>
    <mergeCell ref="C136:D138"/>
    <mergeCell ref="E137:H137"/>
    <mergeCell ref="E138:J138"/>
    <mergeCell ref="C139:D141"/>
    <mergeCell ref="E139:H139"/>
    <mergeCell ref="E140:H140"/>
    <mergeCell ref="E141:H141"/>
    <mergeCell ref="C142:D142"/>
    <mergeCell ref="C143:D143"/>
    <mergeCell ref="B120:D120"/>
    <mergeCell ref="B128:K128"/>
    <mergeCell ref="B130:B133"/>
    <mergeCell ref="I130:J130"/>
    <mergeCell ref="I131:J131"/>
    <mergeCell ref="G132:H132"/>
    <mergeCell ref="I132:J132"/>
    <mergeCell ref="I133:J133"/>
    <mergeCell ref="B112:G112"/>
    <mergeCell ref="B113:G113"/>
    <mergeCell ref="B114:I114"/>
    <mergeCell ref="A116:J116"/>
    <mergeCell ref="A117:J117"/>
    <mergeCell ref="B119:D119"/>
    <mergeCell ref="E119:F119"/>
    <mergeCell ref="H119:J119"/>
    <mergeCell ref="B89:I89"/>
    <mergeCell ref="B90:I90"/>
    <mergeCell ref="A91:I91"/>
    <mergeCell ref="F97:G97"/>
    <mergeCell ref="F102:G102"/>
    <mergeCell ref="B111:G111"/>
    <mergeCell ref="A72:K72"/>
    <mergeCell ref="F78:G78"/>
    <mergeCell ref="E83:G83"/>
    <mergeCell ref="F84:G84"/>
    <mergeCell ref="F85:G85"/>
    <mergeCell ref="E86:G86"/>
    <mergeCell ref="F37:G37"/>
    <mergeCell ref="F38:G38"/>
    <mergeCell ref="B39:D41"/>
    <mergeCell ref="A44:K44"/>
    <mergeCell ref="A52:K52"/>
    <mergeCell ref="A60:K60"/>
    <mergeCell ref="A25:K25"/>
    <mergeCell ref="F26:G27"/>
    <mergeCell ref="C28:D28"/>
    <mergeCell ref="F28:G28"/>
    <mergeCell ref="A30:K30"/>
    <mergeCell ref="F36:G36"/>
    <mergeCell ref="A14:G14"/>
    <mergeCell ref="A15:K15"/>
    <mergeCell ref="E16:G16"/>
    <mergeCell ref="F17:G17"/>
    <mergeCell ref="F18:G18"/>
    <mergeCell ref="B23:D24"/>
    <mergeCell ref="A11:B11"/>
    <mergeCell ref="C11:D11"/>
    <mergeCell ref="H11:H13"/>
    <mergeCell ref="I11:I13"/>
    <mergeCell ref="J11:J13"/>
    <mergeCell ref="K11:K13"/>
    <mergeCell ref="A12:B12"/>
    <mergeCell ref="C12:D12"/>
    <mergeCell ref="I2:K2"/>
    <mergeCell ref="B6:B8"/>
    <mergeCell ref="G6:K6"/>
    <mergeCell ref="G7:H7"/>
    <mergeCell ref="J8:K8"/>
    <mergeCell ref="A10:K10"/>
  </mergeCells>
  <conditionalFormatting sqref="E11">
    <cfRule type="expression" dxfId="164" priority="78">
      <formula>(E11)=""</formula>
    </cfRule>
  </conditionalFormatting>
  <conditionalFormatting sqref="C12">
    <cfRule type="expression" dxfId="163" priority="77">
      <formula>$C$12=""</formula>
    </cfRule>
  </conditionalFormatting>
  <conditionalFormatting sqref="I73:I76 I78">
    <cfRule type="expression" dxfId="162" priority="76">
      <formula>AND(COUNTA($F73)&gt;0,COUNTA($I73)=0)</formula>
    </cfRule>
  </conditionalFormatting>
  <conditionalFormatting sqref="F78">
    <cfRule type="expression" dxfId="161" priority="75">
      <formula>$I$78="x"</formula>
    </cfRule>
  </conditionalFormatting>
  <conditionalFormatting sqref="I55 I53">
    <cfRule type="expression" dxfId="160" priority="74">
      <formula>AND(($I$53)="x",($I$55)="x")</formula>
    </cfRule>
  </conditionalFormatting>
  <conditionalFormatting sqref="I56">
    <cfRule type="expression" dxfId="159" priority="73">
      <formula>AND(($I$53)="x",($I$55)="x",($I$56)="x")</formula>
    </cfRule>
  </conditionalFormatting>
  <conditionalFormatting sqref="I56 I53">
    <cfRule type="expression" dxfId="158" priority="72">
      <formula>AND(($I$53)="x",($I$56)="x")</formula>
    </cfRule>
  </conditionalFormatting>
  <conditionalFormatting sqref="I53:I54">
    <cfRule type="expression" dxfId="157" priority="71">
      <formula>COUNTA($I$53:$I$54)&gt;1</formula>
    </cfRule>
  </conditionalFormatting>
  <conditionalFormatting sqref="F37">
    <cfRule type="expression" dxfId="156" priority="55">
      <formula>$I$37="x"</formula>
    </cfRule>
  </conditionalFormatting>
  <conditionalFormatting sqref="E83">
    <cfRule type="expression" dxfId="155" priority="70">
      <formula>$I$83="x"</formula>
    </cfRule>
  </conditionalFormatting>
  <conditionalFormatting sqref="F97">
    <cfRule type="expression" dxfId="154" priority="29">
      <formula>$I$97="X"</formula>
    </cfRule>
  </conditionalFormatting>
  <conditionalFormatting sqref="F36">
    <cfRule type="expression" dxfId="153" priority="68">
      <formula>($I$36)="x"</formula>
    </cfRule>
  </conditionalFormatting>
  <conditionalFormatting sqref="F36">
    <cfRule type="expression" priority="69">
      <formula>$I$36=""</formula>
    </cfRule>
  </conditionalFormatting>
  <conditionalFormatting sqref="G42">
    <cfRule type="expression" dxfId="152" priority="35">
      <formula>$I$42&lt;&gt;""</formula>
    </cfRule>
    <cfRule type="expression" dxfId="151" priority="66">
      <formula>$I$42="x"</formula>
    </cfRule>
  </conditionalFormatting>
  <conditionalFormatting sqref="G43">
    <cfRule type="expression" dxfId="150" priority="34">
      <formula>$I$43&lt;&gt;""</formula>
    </cfRule>
    <cfRule type="expression" dxfId="149" priority="65">
      <formula>$I$43="x"</formula>
    </cfRule>
  </conditionalFormatting>
  <conditionalFormatting sqref="I33">
    <cfRule type="expression" dxfId="148" priority="79">
      <formula>AND(($I$33)="x",($E$11)="2 Pentes")</formula>
    </cfRule>
  </conditionalFormatting>
  <conditionalFormatting sqref="I31:I33">
    <cfRule type="expression" dxfId="147" priority="80">
      <formula>AND(COUNTA($I$31:$I$32)&gt;0,($E$11)="2 Pentes")</formula>
    </cfRule>
  </conditionalFormatting>
  <conditionalFormatting sqref="I55:I56">
    <cfRule type="expression" dxfId="146" priority="81">
      <formula>AND(($I$55)="x",($I$56)="x")</formula>
    </cfRule>
  </conditionalFormatting>
  <conditionalFormatting sqref="E16">
    <cfRule type="expression" dxfId="145" priority="64">
      <formula>$E$16=""</formula>
    </cfRule>
  </conditionalFormatting>
  <conditionalFormatting sqref="F17">
    <cfRule type="expression" dxfId="144" priority="63">
      <formula>$F$17=""</formula>
    </cfRule>
  </conditionalFormatting>
  <conditionalFormatting sqref="F18">
    <cfRule type="expression" dxfId="143" priority="62">
      <formula>$F$18=""</formula>
    </cfRule>
  </conditionalFormatting>
  <conditionalFormatting sqref="E21">
    <cfRule type="expression" dxfId="142" priority="27">
      <formula>$I$21&lt;&gt;"x"</formula>
    </cfRule>
    <cfRule type="expression" dxfId="141" priority="61">
      <formula>AND($I$21&lt;&gt;0,$E$21="")</formula>
    </cfRule>
  </conditionalFormatting>
  <conditionalFormatting sqref="E20">
    <cfRule type="expression" dxfId="140" priority="28">
      <formula>$I$20&lt;&gt;"x"</formula>
    </cfRule>
    <cfRule type="expression" dxfId="139" priority="60">
      <formula>AND($I$20&lt;&gt;0,$E$20="")</formula>
    </cfRule>
  </conditionalFormatting>
  <conditionalFormatting sqref="F39:F41">
    <cfRule type="expression" dxfId="138" priority="82">
      <formula>AND(($F$38)=3,COUNTA($F$39:$F$41)&lt;&gt;3)</formula>
    </cfRule>
    <cfRule type="expression" dxfId="137" priority="83">
      <formula>AND(($F$38)=2,COUNTA($F$39:$F$41)&lt;&gt;2)</formula>
    </cfRule>
    <cfRule type="expression" dxfId="136" priority="84">
      <formula>AND(($F$38)=1,COUNTA($F$39:$F$41)&lt;&gt;1)</formula>
    </cfRule>
  </conditionalFormatting>
  <conditionalFormatting sqref="I20:I24">
    <cfRule type="expression" dxfId="135" priority="59">
      <formula>COUNTA($I$20:$I$24)&gt;1</formula>
    </cfRule>
  </conditionalFormatting>
  <conditionalFormatting sqref="E20:E21">
    <cfRule type="expression" dxfId="134" priority="58">
      <formula>COUNTA($E$20:$E$21)&gt;1</formula>
    </cfRule>
  </conditionalFormatting>
  <conditionalFormatting sqref="C28">
    <cfRule type="expression" dxfId="133" priority="23">
      <formula>$C$28&lt;&gt;""</formula>
    </cfRule>
    <cfRule type="expression" dxfId="132" priority="57">
      <formula>$I$28="x"</formula>
    </cfRule>
  </conditionalFormatting>
  <conditionalFormatting sqref="F28">
    <cfRule type="expression" dxfId="131" priority="24">
      <formula>$F$28&lt;&gt;""</formula>
    </cfRule>
    <cfRule type="expression" dxfId="130" priority="56">
      <formula>$I$28="x"</formula>
    </cfRule>
  </conditionalFormatting>
  <conditionalFormatting sqref="F38">
    <cfRule type="expression" dxfId="129" priority="53">
      <formula>$F$38&lt;&gt;""</formula>
    </cfRule>
    <cfRule type="expression" dxfId="128" priority="54">
      <formula>$I$38&lt;&gt;""</formula>
    </cfRule>
  </conditionalFormatting>
  <conditionalFormatting sqref="I59 I54">
    <cfRule type="expression" dxfId="127" priority="52">
      <formula>AND(($I$59)="x",($I$54)="x")</formula>
    </cfRule>
  </conditionalFormatting>
  <conditionalFormatting sqref="I62:I64">
    <cfRule type="expression" dxfId="126" priority="51">
      <formula>COUNTA($I$62:$I$64)&gt;1</formula>
    </cfRule>
  </conditionalFormatting>
  <conditionalFormatting sqref="J94">
    <cfRule type="expression" dxfId="125" priority="67">
      <formula>AND(COUNTA($I$94)=1,($J$94=""))</formula>
    </cfRule>
  </conditionalFormatting>
  <conditionalFormatting sqref="J95">
    <cfRule type="expression" dxfId="124" priority="50">
      <formula>AND(COUNTA($I$95)=1,($J$95=""))</formula>
    </cfRule>
  </conditionalFormatting>
  <conditionalFormatting sqref="J96">
    <cfRule type="expression" dxfId="123" priority="49">
      <formula>AND(COUNTA($I$96)=1,($J$96=""))</formula>
    </cfRule>
  </conditionalFormatting>
  <conditionalFormatting sqref="J97">
    <cfRule type="expression" dxfId="122" priority="48">
      <formula>AND(COUNTA($I$97)=1,($J$97=""))</formula>
    </cfRule>
  </conditionalFormatting>
  <conditionalFormatting sqref="J98">
    <cfRule type="expression" dxfId="121" priority="47">
      <formula>AND(COUNTA($I$98)=1,($J$98=""))</formula>
    </cfRule>
  </conditionalFormatting>
  <conditionalFormatting sqref="J99">
    <cfRule type="expression" dxfId="120" priority="46">
      <formula>AND(COUNTA($I$99)=1,($J$99=""))</formula>
    </cfRule>
  </conditionalFormatting>
  <conditionalFormatting sqref="J100">
    <cfRule type="expression" dxfId="119" priority="45">
      <formula>AND(COUNTA($I$100)=1,($J$100=""))</formula>
    </cfRule>
  </conditionalFormatting>
  <conditionalFormatting sqref="J101">
    <cfRule type="expression" dxfId="118" priority="44">
      <formula>AND(COUNTA($I$101)=1,($J$101=""))</formula>
    </cfRule>
  </conditionalFormatting>
  <conditionalFormatting sqref="J102">
    <cfRule type="expression" dxfId="117" priority="43">
      <formula>AND(COUNTA($I$102)=1,($J$102=""))</formula>
    </cfRule>
  </conditionalFormatting>
  <conditionalFormatting sqref="J103">
    <cfRule type="expression" dxfId="116" priority="42">
      <formula>AND(COUNTA($I$103)=1,($J$103=""))</formula>
    </cfRule>
  </conditionalFormatting>
  <conditionalFormatting sqref="J105">
    <cfRule type="expression" dxfId="115" priority="41">
      <formula>AND(COUNTA($I$105)=1,($J$105=""))</formula>
    </cfRule>
  </conditionalFormatting>
  <conditionalFormatting sqref="J107">
    <cfRule type="expression" dxfId="114" priority="40">
      <formula>AND(COUNTA($I$107)=1,($J$107=""))</formula>
    </cfRule>
  </conditionalFormatting>
  <conditionalFormatting sqref="J108">
    <cfRule type="expression" dxfId="113" priority="39">
      <formula>AND(COUNTA($I$108)=1,($J$108=""))</formula>
    </cfRule>
  </conditionalFormatting>
  <conditionalFormatting sqref="J109">
    <cfRule type="expression" dxfId="112" priority="38">
      <formula>AND(COUNTA($I$109)=1,($J$109=""))</formula>
    </cfRule>
  </conditionalFormatting>
  <conditionalFormatting sqref="I111:J111">
    <cfRule type="expression" dxfId="111" priority="37">
      <formula>AND(COUNTA($H$111)=1,($I$111:$J$111=""))</formula>
    </cfRule>
  </conditionalFormatting>
  <conditionalFormatting sqref="I113:J113">
    <cfRule type="expression" dxfId="110" priority="36">
      <formula>AND(COUNTA($H$113)=1,($I$113:$J$113=""))</formula>
    </cfRule>
  </conditionalFormatting>
  <conditionalFormatting sqref="I112:J112">
    <cfRule type="expression" dxfId="109" priority="33">
      <formula>AND(COUNTA($H$112)=1,($I$112:$J$112=""))</formula>
    </cfRule>
  </conditionalFormatting>
  <conditionalFormatting sqref="J111">
    <cfRule type="expression" dxfId="108" priority="32">
      <formula>AND(COUNTA($I$111)=1,($J$111=""))</formula>
    </cfRule>
  </conditionalFormatting>
  <conditionalFormatting sqref="J112">
    <cfRule type="expression" dxfId="107" priority="31">
      <formula>AND(COUNTA($I$112)=1,($J$112=""))</formula>
    </cfRule>
  </conditionalFormatting>
  <conditionalFormatting sqref="J113">
    <cfRule type="expression" dxfId="106" priority="30">
      <formula>AND(COUNTA($I$113)=1,($J$113=""))</formula>
    </cfRule>
  </conditionalFormatting>
  <conditionalFormatting sqref="E23">
    <cfRule type="expression" dxfId="105" priority="26">
      <formula>$I$23="x"</formula>
    </cfRule>
  </conditionalFormatting>
  <conditionalFormatting sqref="E24">
    <cfRule type="expression" dxfId="104" priority="25">
      <formula>$I$24="x"</formula>
    </cfRule>
  </conditionalFormatting>
  <conditionalFormatting sqref="I26:I27">
    <cfRule type="expression" dxfId="103" priority="22">
      <formula>COUNTA($I$26:$I$27)&gt;1</formula>
    </cfRule>
  </conditionalFormatting>
  <conditionalFormatting sqref="I38">
    <cfRule type="expression" dxfId="102" priority="21">
      <formula>AND(($I$38)="x",($I$20&lt;&gt;"x"))</formula>
    </cfRule>
  </conditionalFormatting>
  <conditionalFormatting sqref="G88">
    <cfRule type="expression" dxfId="101" priority="19">
      <formula>$I$87&lt;&gt;""</formula>
    </cfRule>
    <cfRule type="expression" dxfId="100" priority="20">
      <formula>$I$88="x"</formula>
    </cfRule>
  </conditionalFormatting>
  <conditionalFormatting sqref="E86">
    <cfRule type="expression" dxfId="99" priority="18">
      <formula>$I$86="x"</formula>
    </cfRule>
  </conditionalFormatting>
  <conditionalFormatting sqref="E85:F85">
    <cfRule type="expression" dxfId="98" priority="17">
      <formula>$I$85="x"</formula>
    </cfRule>
  </conditionalFormatting>
  <conditionalFormatting sqref="E84:F84">
    <cfRule type="expression" dxfId="97" priority="16">
      <formula>$I$84="x"</formula>
    </cfRule>
  </conditionalFormatting>
  <conditionalFormatting sqref="H20 J20">
    <cfRule type="expression" dxfId="96" priority="15">
      <formula>OR($I$21&lt;&gt;"",$I$22&lt;&gt;"",$I$23&lt;&gt;"",$I$24&lt;&gt;"")</formula>
    </cfRule>
  </conditionalFormatting>
  <conditionalFormatting sqref="H26 J26">
    <cfRule type="expression" dxfId="95" priority="14">
      <formula>$I$27&lt;&gt;""</formula>
    </cfRule>
  </conditionalFormatting>
  <conditionalFormatting sqref="G64">
    <cfRule type="expression" dxfId="94" priority="12">
      <formula>$I$64&lt;&gt;"X"</formula>
    </cfRule>
    <cfRule type="expression" dxfId="93" priority="13">
      <formula>$I$64="X"</formula>
    </cfRule>
  </conditionalFormatting>
  <conditionalFormatting sqref="H62 J62">
    <cfRule type="expression" dxfId="92" priority="11">
      <formula>OR($I$63&lt;&gt;"",$I$64&lt;&gt;"")</formula>
    </cfRule>
  </conditionalFormatting>
  <conditionalFormatting sqref="I99 I102">
    <cfRule type="expression" dxfId="91" priority="10">
      <formula>AND(($I$99&lt;&gt;""),($I$102=""))</formula>
    </cfRule>
  </conditionalFormatting>
  <conditionalFormatting sqref="I98 I102">
    <cfRule type="expression" dxfId="90" priority="9">
      <formula>AND(OR($I$100&lt;&gt;"",$I$101&lt;&gt;""),$I$98="",$I$102="")</formula>
    </cfRule>
  </conditionalFormatting>
  <conditionalFormatting sqref="E22">
    <cfRule type="expression" dxfId="89" priority="8">
      <formula>$I$22="x"</formula>
    </cfRule>
  </conditionalFormatting>
  <conditionalFormatting sqref="F102">
    <cfRule type="expression" dxfId="88" priority="7">
      <formula>$I$102="x"</formula>
    </cfRule>
  </conditionalFormatting>
  <conditionalFormatting sqref="E102">
    <cfRule type="expression" dxfId="87" priority="3">
      <formula>AND(($E$102="Pilotis"),$I$99&lt;&gt;"")</formula>
    </cfRule>
    <cfRule type="expression" dxfId="86" priority="4">
      <formula>AND(($E$102="Encorbellement"),$I$100&lt;&gt;"")</formula>
    </cfRule>
    <cfRule type="expression" dxfId="85" priority="5">
      <formula>AND(($E$102="Encorbellement"),$I$101&lt;&gt;"")</formula>
    </cfRule>
    <cfRule type="expression" dxfId="84" priority="6">
      <formula>$I$102&lt;&gt;""</formula>
    </cfRule>
  </conditionalFormatting>
  <conditionalFormatting sqref="F102:G102">
    <cfRule type="expression" dxfId="83" priority="2">
      <formula>AND(($F$102="Droite face au chalet"),$E$11="2 Pentes")</formula>
    </cfRule>
  </conditionalFormatting>
  <conditionalFormatting sqref="D1">
    <cfRule type="expression" dxfId="82" priority="1">
      <formula>$M$4="Poseurs"</formula>
    </cfRule>
  </conditionalFormatting>
  <dataValidations count="11">
    <dataValidation type="list" allowBlank="1" showInputMessage="1" showErrorMessage="1" sqref="E102" xr:uid="{6A4AF782-712F-4BD9-8A7D-18918096A343}">
      <formula1>"Encorbellement,pilotis"</formula1>
    </dataValidation>
    <dataValidation type="whole" allowBlank="1" showInputMessage="1" showErrorMessage="1" error="Merci de préciser l'option 1 pente ou 2 pentes avant de saisir la quantité" promptTitle="ATTENTION" prompt="Merci de préciser l'option 1 pente ou 2 pentes avant de saisir la quantité" sqref="C12" xr:uid="{1E51ED31-90A8-42EB-B5BE-C1624A18A16B}">
      <formula1>1</formula1>
      <formula2>100</formula2>
    </dataValidation>
    <dataValidation type="list" allowBlank="1" showInputMessage="1" showErrorMessage="1" sqref="E11" xr:uid="{65CE74E8-A2D2-4155-A36E-E4BB2272C01C}">
      <formula1>"1 Pente, 2 Pentes"</formula1>
    </dataValidation>
    <dataValidation type="custom" allowBlank="1" showInputMessage="1" showErrorMessage="1" sqref="I102" xr:uid="{2B558D10-3401-4001-85AC-65A357F6224D}">
      <formula1>I5="x"</formula1>
    </dataValidation>
    <dataValidation allowBlank="1" showInputMessage="1" showErrorMessage="1" sqref="F20" xr:uid="{41FB1B5A-4148-4854-9165-5D90319FEF5A}"/>
    <dataValidation type="custom" allowBlank="1" showInputMessage="1" showErrorMessage="1" sqref="I108" xr:uid="{D9EFFED7-6EC2-4C45-8CFF-C5137AD31C70}">
      <formula1>I107="x"</formula1>
    </dataValidation>
    <dataValidation type="custom" allowBlank="1" showInputMessage="1" showErrorMessage="1" sqref="I109" xr:uid="{991172B4-845C-4BEF-ADDE-DD06EABA7E8C}">
      <formula1>I9="x"</formula1>
    </dataValidation>
    <dataValidation type="custom" allowBlank="1" showInputMessage="1" showErrorMessage="1" sqref="I111 I103:I105" xr:uid="{7D8FC70F-D38E-46C8-A531-E4610F5CD0A2}">
      <formula1>I4="x"</formula1>
    </dataValidation>
    <dataValidation type="list" allowBlank="1" showInputMessage="1" showErrorMessage="1" sqref="G42:G43" xr:uid="{90B97C90-7C5D-4CCA-AEF5-C77765AE9F7A}">
      <formula1>"1,2,3,4,5,6"</formula1>
    </dataValidation>
    <dataValidation type="list" allowBlank="1" showInputMessage="1" showErrorMessage="1" sqref="G73 K5 G50 G88" xr:uid="{D35F1E92-2530-4139-A9B6-C1C9B95DF963}">
      <formula1>"Oui,Non"</formula1>
    </dataValidation>
    <dataValidation type="custom" allowBlank="1" showInputMessage="1" showErrorMessage="1" sqref="I107 I21:I24 I26:I29 I31:I43 I45:I51 I53:I59 I73:I81 I83:I88 I61:I71 I112:I113 I94:I101" xr:uid="{D9668A66-AF12-48D5-84DA-2D2A6617438C}">
      <formula1>I21="x"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8537-A73E-4E71-96EF-9816BC10B59D}">
  <dimension ref="B3:C4"/>
  <sheetViews>
    <sheetView workbookViewId="0">
      <selection activeCell="B25" sqref="B25"/>
    </sheetView>
  </sheetViews>
  <sheetFormatPr baseColWidth="10" defaultRowHeight="15" x14ac:dyDescent="0.25"/>
  <cols>
    <col min="2" max="2" width="13.7109375" bestFit="1" customWidth="1"/>
  </cols>
  <sheetData>
    <row r="3" spans="2:3" x14ac:dyDescent="0.25">
      <c r="B3" t="s">
        <v>261</v>
      </c>
      <c r="C3" t="s">
        <v>262</v>
      </c>
    </row>
    <row r="4" spans="2:3" x14ac:dyDescent="0.25">
      <c r="B4" t="s">
        <v>265</v>
      </c>
      <c r="C4" t="s">
        <v>264</v>
      </c>
    </row>
  </sheetData>
  <dataValidations count="1">
    <dataValidation type="list" allowBlank="1" showInputMessage="1" showErrorMessage="1" sqref="C3" xr:uid="{697219E8-6025-4192-B772-12135AFC8B2F}">
      <formula1>"Commerciaux, Accusé réception de commande"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78291B-4E17-4A4B-9EE4-56E897421F46}">
          <x14:formula1>
            <xm:f>traduction!$B$1:$D$1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05FCF-1F9C-476A-A138-F42D34A6A42A}">
  <dimension ref="A1:J218"/>
  <sheetViews>
    <sheetView topLeftCell="C156" workbookViewId="0">
      <selection activeCell="D169" sqref="D169"/>
    </sheetView>
  </sheetViews>
  <sheetFormatPr baseColWidth="10" defaultRowHeight="15" x14ac:dyDescent="0.25"/>
  <cols>
    <col min="1" max="1" width="5.140625" bestFit="1" customWidth="1"/>
    <col min="2" max="2" width="84.140625" customWidth="1"/>
    <col min="3" max="3" width="75.85546875" bestFit="1" customWidth="1"/>
    <col min="4" max="4" width="85" bestFit="1" customWidth="1"/>
    <col min="5" max="6" width="11.5703125" customWidth="1"/>
  </cols>
  <sheetData>
    <row r="1" spans="1:10" x14ac:dyDescent="0.25">
      <c r="A1" t="s">
        <v>263</v>
      </c>
      <c r="B1" t="s">
        <v>0</v>
      </c>
      <c r="C1" t="s">
        <v>703</v>
      </c>
      <c r="D1" t="s">
        <v>264</v>
      </c>
    </row>
    <row r="2" spans="1:10" x14ac:dyDescent="0.25">
      <c r="A2">
        <v>1</v>
      </c>
      <c r="B2" t="s">
        <v>265</v>
      </c>
      <c r="C2" t="s">
        <v>266</v>
      </c>
      <c r="D2" t="s">
        <v>267</v>
      </c>
    </row>
    <row r="3" spans="1:10" x14ac:dyDescent="0.25">
      <c r="A3">
        <v>2</v>
      </c>
      <c r="B3" t="s">
        <v>1</v>
      </c>
      <c r="C3" t="s">
        <v>268</v>
      </c>
      <c r="D3" t="s">
        <v>269</v>
      </c>
      <c r="E3" t="s">
        <v>270</v>
      </c>
      <c r="J3" t="s">
        <v>271</v>
      </c>
    </row>
    <row r="4" spans="1:10" x14ac:dyDescent="0.25">
      <c r="A4">
        <v>3</v>
      </c>
      <c r="B4" t="s">
        <v>4</v>
      </c>
      <c r="C4" t="s">
        <v>272</v>
      </c>
      <c r="D4" t="s">
        <v>272</v>
      </c>
    </row>
    <row r="5" spans="1:10" x14ac:dyDescent="0.25">
      <c r="A5">
        <v>4</v>
      </c>
      <c r="B5" t="s">
        <v>3</v>
      </c>
      <c r="C5" t="s">
        <v>273</v>
      </c>
      <c r="D5" t="s">
        <v>274</v>
      </c>
    </row>
    <row r="6" spans="1:10" x14ac:dyDescent="0.25">
      <c r="A6">
        <v>5</v>
      </c>
      <c r="B6" t="s">
        <v>275</v>
      </c>
      <c r="C6" t="s">
        <v>276</v>
      </c>
      <c r="D6" t="s">
        <v>276</v>
      </c>
    </row>
    <row r="7" spans="1:10" x14ac:dyDescent="0.25">
      <c r="A7">
        <v>6</v>
      </c>
      <c r="B7" t="s">
        <v>277</v>
      </c>
      <c r="C7" t="s">
        <v>278</v>
      </c>
      <c r="D7" t="s">
        <v>279</v>
      </c>
    </row>
    <row r="8" spans="1:10" x14ac:dyDescent="0.25">
      <c r="A8">
        <v>7</v>
      </c>
      <c r="B8" t="s">
        <v>280</v>
      </c>
      <c r="C8" t="s">
        <v>281</v>
      </c>
      <c r="D8" t="s">
        <v>282</v>
      </c>
    </row>
    <row r="9" spans="1:10" x14ac:dyDescent="0.25">
      <c r="A9">
        <v>8</v>
      </c>
      <c r="B9" t="s">
        <v>10</v>
      </c>
      <c r="C9" t="s">
        <v>283</v>
      </c>
      <c r="D9" t="s">
        <v>284</v>
      </c>
    </row>
    <row r="10" spans="1:10" x14ac:dyDescent="0.25">
      <c r="A10">
        <v>9</v>
      </c>
      <c r="B10" t="s">
        <v>9</v>
      </c>
      <c r="C10" t="s">
        <v>9</v>
      </c>
      <c r="D10" t="s">
        <v>9</v>
      </c>
    </row>
    <row r="11" spans="1:10" x14ac:dyDescent="0.25">
      <c r="A11">
        <v>10</v>
      </c>
      <c r="B11" t="s">
        <v>11</v>
      </c>
      <c r="C11" t="s">
        <v>285</v>
      </c>
      <c r="D11" t="s">
        <v>286</v>
      </c>
    </row>
    <row r="12" spans="1:10" x14ac:dyDescent="0.25">
      <c r="A12">
        <v>11</v>
      </c>
      <c r="B12" t="s">
        <v>287</v>
      </c>
      <c r="C12" t="s">
        <v>288</v>
      </c>
      <c r="D12" t="s">
        <v>289</v>
      </c>
    </row>
    <row r="13" spans="1:10" x14ac:dyDescent="0.25">
      <c r="A13">
        <v>12</v>
      </c>
      <c r="B13" t="s">
        <v>12</v>
      </c>
      <c r="C13" t="s">
        <v>290</v>
      </c>
      <c r="D13" t="s">
        <v>291</v>
      </c>
    </row>
    <row r="14" spans="1:10" x14ac:dyDescent="0.25">
      <c r="A14">
        <v>13</v>
      </c>
      <c r="B14" t="s">
        <v>17</v>
      </c>
      <c r="C14" t="s">
        <v>292</v>
      </c>
      <c r="D14" t="s">
        <v>293</v>
      </c>
    </row>
    <row r="15" spans="1:10" x14ac:dyDescent="0.25">
      <c r="A15">
        <v>14</v>
      </c>
      <c r="B15" t="s">
        <v>13</v>
      </c>
      <c r="C15" t="s">
        <v>294</v>
      </c>
      <c r="D15" t="s">
        <v>295</v>
      </c>
    </row>
    <row r="16" spans="1:10" x14ac:dyDescent="0.25">
      <c r="A16">
        <v>15</v>
      </c>
      <c r="B16" t="s">
        <v>14</v>
      </c>
      <c r="C16" t="s">
        <v>296</v>
      </c>
      <c r="D16" t="s">
        <v>297</v>
      </c>
    </row>
    <row r="17" spans="1:4" x14ac:dyDescent="0.25">
      <c r="A17">
        <v>16</v>
      </c>
      <c r="B17" t="s">
        <v>16</v>
      </c>
      <c r="C17" t="s">
        <v>298</v>
      </c>
      <c r="D17" t="s">
        <v>299</v>
      </c>
    </row>
    <row r="18" spans="1:4" x14ac:dyDescent="0.25">
      <c r="A18">
        <v>17</v>
      </c>
      <c r="B18" t="s">
        <v>15</v>
      </c>
      <c r="C18" t="s">
        <v>300</v>
      </c>
      <c r="D18" t="s">
        <v>301</v>
      </c>
    </row>
    <row r="19" spans="1:4" x14ac:dyDescent="0.25">
      <c r="A19">
        <v>18</v>
      </c>
      <c r="B19" t="s">
        <v>18</v>
      </c>
      <c r="C19" t="s">
        <v>302</v>
      </c>
      <c r="D19" t="s">
        <v>303</v>
      </c>
    </row>
    <row r="20" spans="1:4" x14ac:dyDescent="0.25">
      <c r="A20">
        <v>19</v>
      </c>
      <c r="B20" t="s">
        <v>20</v>
      </c>
      <c r="C20" t="s">
        <v>304</v>
      </c>
      <c r="D20" t="s">
        <v>305</v>
      </c>
    </row>
    <row r="21" spans="1:4" x14ac:dyDescent="0.25">
      <c r="A21">
        <v>20</v>
      </c>
      <c r="B21" t="s">
        <v>21</v>
      </c>
      <c r="C21" t="s">
        <v>306</v>
      </c>
      <c r="D21" t="s">
        <v>307</v>
      </c>
    </row>
    <row r="22" spans="1:4" x14ac:dyDescent="0.25">
      <c r="A22">
        <v>21</v>
      </c>
      <c r="B22" t="s">
        <v>23</v>
      </c>
      <c r="C22" t="s">
        <v>308</v>
      </c>
      <c r="D22" t="s">
        <v>309</v>
      </c>
    </row>
    <row r="23" spans="1:4" x14ac:dyDescent="0.25">
      <c r="A23">
        <v>22</v>
      </c>
      <c r="B23" t="s">
        <v>26</v>
      </c>
      <c r="C23" t="s">
        <v>310</v>
      </c>
      <c r="D23" t="s">
        <v>311</v>
      </c>
    </row>
    <row r="24" spans="1:4" x14ac:dyDescent="0.25">
      <c r="A24">
        <v>23</v>
      </c>
      <c r="B24" t="s">
        <v>28</v>
      </c>
      <c r="C24" t="s">
        <v>312</v>
      </c>
      <c r="D24" t="s">
        <v>313</v>
      </c>
    </row>
    <row r="25" spans="1:4" x14ac:dyDescent="0.25">
      <c r="A25">
        <v>24</v>
      </c>
      <c r="B25" s="24" t="s">
        <v>314</v>
      </c>
      <c r="C25" t="s">
        <v>315</v>
      </c>
      <c r="D25" t="s">
        <v>316</v>
      </c>
    </row>
    <row r="26" spans="1:4" x14ac:dyDescent="0.25">
      <c r="A26">
        <v>25</v>
      </c>
      <c r="B26" s="24" t="s">
        <v>317</v>
      </c>
      <c r="C26" t="s">
        <v>318</v>
      </c>
      <c r="D26" t="s">
        <v>319</v>
      </c>
    </row>
    <row r="27" spans="1:4" x14ac:dyDescent="0.25">
      <c r="A27">
        <v>26</v>
      </c>
      <c r="B27" s="24" t="s">
        <v>320</v>
      </c>
      <c r="C27" t="s">
        <v>321</v>
      </c>
      <c r="D27" t="s">
        <v>322</v>
      </c>
    </row>
    <row r="28" spans="1:4" x14ac:dyDescent="0.25">
      <c r="A28">
        <v>27</v>
      </c>
      <c r="B28" t="s">
        <v>30</v>
      </c>
      <c r="C28" t="s">
        <v>323</v>
      </c>
      <c r="D28" t="s">
        <v>324</v>
      </c>
    </row>
    <row r="29" spans="1:4" x14ac:dyDescent="0.25">
      <c r="A29">
        <v>28</v>
      </c>
      <c r="B29" t="s">
        <v>25</v>
      </c>
      <c r="C29" t="s">
        <v>325</v>
      </c>
      <c r="D29" t="s">
        <v>326</v>
      </c>
    </row>
    <row r="30" spans="1:4" x14ac:dyDescent="0.25">
      <c r="A30">
        <v>29</v>
      </c>
      <c r="B30" t="s">
        <v>37</v>
      </c>
      <c r="C30" t="s">
        <v>327</v>
      </c>
      <c r="D30" t="s">
        <v>328</v>
      </c>
    </row>
    <row r="31" spans="1:4" x14ac:dyDescent="0.25">
      <c r="A31">
        <v>30</v>
      </c>
      <c r="B31" t="s">
        <v>22</v>
      </c>
      <c r="C31" t="s">
        <v>329</v>
      </c>
      <c r="D31" t="s">
        <v>330</v>
      </c>
    </row>
    <row r="32" spans="1:4" x14ac:dyDescent="0.25">
      <c r="A32">
        <v>31</v>
      </c>
      <c r="B32" t="s">
        <v>24</v>
      </c>
      <c r="C32" t="s">
        <v>331</v>
      </c>
      <c r="D32" t="s">
        <v>332</v>
      </c>
    </row>
    <row r="33" spans="1:4" x14ac:dyDescent="0.25">
      <c r="A33">
        <v>32</v>
      </c>
      <c r="B33" t="s">
        <v>38</v>
      </c>
      <c r="C33" t="s">
        <v>333</v>
      </c>
      <c r="D33" t="s">
        <v>334</v>
      </c>
    </row>
    <row r="34" spans="1:4" x14ac:dyDescent="0.25">
      <c r="A34">
        <v>33</v>
      </c>
      <c r="B34" t="s">
        <v>39</v>
      </c>
      <c r="C34" t="s">
        <v>335</v>
      </c>
      <c r="D34" t="s">
        <v>336</v>
      </c>
    </row>
    <row r="35" spans="1:4" x14ac:dyDescent="0.25">
      <c r="A35">
        <v>34</v>
      </c>
      <c r="B35" t="s">
        <v>40</v>
      </c>
      <c r="C35" t="s">
        <v>337</v>
      </c>
      <c r="D35" t="s">
        <v>338</v>
      </c>
    </row>
    <row r="36" spans="1:4" x14ac:dyDescent="0.25">
      <c r="A36">
        <v>35</v>
      </c>
      <c r="B36" t="s">
        <v>42</v>
      </c>
      <c r="C36" t="s">
        <v>339</v>
      </c>
      <c r="D36" t="s">
        <v>340</v>
      </c>
    </row>
    <row r="37" spans="1:4" x14ac:dyDescent="0.25">
      <c r="A37">
        <v>36</v>
      </c>
      <c r="B37" t="s">
        <v>27</v>
      </c>
      <c r="C37" t="s">
        <v>27</v>
      </c>
      <c r="D37" t="s">
        <v>27</v>
      </c>
    </row>
    <row r="38" spans="1:4" x14ac:dyDescent="0.25">
      <c r="A38">
        <v>37</v>
      </c>
      <c r="B38" t="s">
        <v>43</v>
      </c>
      <c r="C38" t="s">
        <v>341</v>
      </c>
      <c r="D38" t="s">
        <v>342</v>
      </c>
    </row>
    <row r="39" spans="1:4" x14ac:dyDescent="0.25">
      <c r="A39">
        <v>38</v>
      </c>
      <c r="B39" t="s">
        <v>34</v>
      </c>
      <c r="C39" t="s">
        <v>343</v>
      </c>
      <c r="D39" t="s">
        <v>344</v>
      </c>
    </row>
    <row r="40" spans="1:4" x14ac:dyDescent="0.25">
      <c r="A40">
        <v>39</v>
      </c>
      <c r="B40" t="s">
        <v>35</v>
      </c>
      <c r="C40" t="s">
        <v>345</v>
      </c>
      <c r="D40" t="s">
        <v>346</v>
      </c>
    </row>
    <row r="41" spans="1:4" x14ac:dyDescent="0.25">
      <c r="A41">
        <v>40</v>
      </c>
      <c r="B41" t="s">
        <v>36</v>
      </c>
      <c r="C41" t="s">
        <v>347</v>
      </c>
      <c r="D41" t="s">
        <v>348</v>
      </c>
    </row>
    <row r="42" spans="1:4" x14ac:dyDescent="0.25">
      <c r="A42">
        <v>41</v>
      </c>
      <c r="B42" t="s">
        <v>44</v>
      </c>
      <c r="C42" t="s">
        <v>349</v>
      </c>
      <c r="D42" t="s">
        <v>350</v>
      </c>
    </row>
    <row r="43" spans="1:4" x14ac:dyDescent="0.25">
      <c r="A43">
        <v>42</v>
      </c>
      <c r="B43" t="s">
        <v>45</v>
      </c>
      <c r="C43" t="s">
        <v>351</v>
      </c>
      <c r="D43" t="s">
        <v>352</v>
      </c>
    </row>
    <row r="44" spans="1:4" x14ac:dyDescent="0.25">
      <c r="A44">
        <v>43</v>
      </c>
      <c r="B44" t="s">
        <v>46</v>
      </c>
      <c r="C44" t="s">
        <v>353</v>
      </c>
      <c r="D44" t="s">
        <v>354</v>
      </c>
    </row>
    <row r="45" spans="1:4" x14ac:dyDescent="0.25">
      <c r="A45">
        <v>44</v>
      </c>
      <c r="B45" t="s">
        <v>355</v>
      </c>
      <c r="C45" t="s">
        <v>356</v>
      </c>
      <c r="D45" t="s">
        <v>357</v>
      </c>
    </row>
    <row r="46" spans="1:4" x14ac:dyDescent="0.25">
      <c r="A46">
        <v>45</v>
      </c>
      <c r="B46" t="s">
        <v>47</v>
      </c>
      <c r="C46" t="s">
        <v>358</v>
      </c>
      <c r="D46" t="s">
        <v>359</v>
      </c>
    </row>
    <row r="47" spans="1:4" x14ac:dyDescent="0.25">
      <c r="A47">
        <v>46</v>
      </c>
      <c r="B47" t="s">
        <v>48</v>
      </c>
      <c r="C47" t="s">
        <v>360</v>
      </c>
      <c r="D47" t="s">
        <v>361</v>
      </c>
    </row>
    <row r="48" spans="1:4" x14ac:dyDescent="0.25">
      <c r="A48">
        <v>47</v>
      </c>
      <c r="B48" t="s">
        <v>362</v>
      </c>
      <c r="C48" t="s">
        <v>363</v>
      </c>
      <c r="D48" t="s">
        <v>364</v>
      </c>
    </row>
    <row r="49" spans="1:4" x14ac:dyDescent="0.25">
      <c r="A49">
        <v>48</v>
      </c>
      <c r="B49" t="s">
        <v>50</v>
      </c>
      <c r="C49" t="s">
        <v>365</v>
      </c>
      <c r="D49" t="s">
        <v>366</v>
      </c>
    </row>
    <row r="50" spans="1:4" x14ac:dyDescent="0.25">
      <c r="A50">
        <v>49</v>
      </c>
      <c r="B50" t="s">
        <v>52</v>
      </c>
      <c r="C50" t="s">
        <v>367</v>
      </c>
      <c r="D50" t="s">
        <v>368</v>
      </c>
    </row>
    <row r="51" spans="1:4" x14ac:dyDescent="0.25">
      <c r="A51">
        <v>50</v>
      </c>
      <c r="B51" t="s">
        <v>41</v>
      </c>
      <c r="C51" t="s">
        <v>369</v>
      </c>
      <c r="D51" t="s">
        <v>370</v>
      </c>
    </row>
    <row r="52" spans="1:4" x14ac:dyDescent="0.25">
      <c r="A52">
        <v>51</v>
      </c>
      <c r="B52" t="s">
        <v>59</v>
      </c>
      <c r="C52" t="s">
        <v>371</v>
      </c>
      <c r="D52" t="s">
        <v>372</v>
      </c>
    </row>
    <row r="53" spans="1:4" x14ac:dyDescent="0.25">
      <c r="A53">
        <v>52</v>
      </c>
      <c r="B53" t="s">
        <v>56</v>
      </c>
      <c r="C53" t="s">
        <v>373</v>
      </c>
      <c r="D53" t="s">
        <v>374</v>
      </c>
    </row>
    <row r="54" spans="1:4" x14ac:dyDescent="0.25">
      <c r="A54">
        <v>53</v>
      </c>
      <c r="B54" t="s">
        <v>58</v>
      </c>
      <c r="C54" t="s">
        <v>375</v>
      </c>
      <c r="D54" t="s">
        <v>376</v>
      </c>
    </row>
    <row r="55" spans="1:4" x14ac:dyDescent="0.25">
      <c r="A55">
        <v>54</v>
      </c>
      <c r="B55" t="s">
        <v>60</v>
      </c>
      <c r="C55" t="s">
        <v>377</v>
      </c>
      <c r="D55" t="s">
        <v>378</v>
      </c>
    </row>
    <row r="56" spans="1:4" x14ac:dyDescent="0.25">
      <c r="A56">
        <v>55</v>
      </c>
      <c r="B56" t="s">
        <v>61</v>
      </c>
      <c r="C56" t="s">
        <v>379</v>
      </c>
      <c r="D56" t="s">
        <v>380</v>
      </c>
    </row>
    <row r="57" spans="1:4" x14ac:dyDescent="0.25">
      <c r="A57">
        <v>56</v>
      </c>
      <c r="B57" t="s">
        <v>62</v>
      </c>
      <c r="C57" t="s">
        <v>381</v>
      </c>
      <c r="D57" t="s">
        <v>382</v>
      </c>
    </row>
    <row r="58" spans="1:4" x14ac:dyDescent="0.25">
      <c r="A58">
        <v>57</v>
      </c>
      <c r="B58" t="s">
        <v>63</v>
      </c>
      <c r="C58" t="s">
        <v>383</v>
      </c>
      <c r="D58" t="s">
        <v>384</v>
      </c>
    </row>
    <row r="59" spans="1:4" x14ac:dyDescent="0.25">
      <c r="A59">
        <v>58</v>
      </c>
      <c r="B59" t="s">
        <v>64</v>
      </c>
      <c r="C59" t="s">
        <v>385</v>
      </c>
      <c r="D59" t="s">
        <v>386</v>
      </c>
    </row>
    <row r="60" spans="1:4" x14ac:dyDescent="0.25">
      <c r="A60">
        <v>59</v>
      </c>
      <c r="B60" t="s">
        <v>65</v>
      </c>
      <c r="C60" t="s">
        <v>387</v>
      </c>
      <c r="D60" t="s">
        <v>388</v>
      </c>
    </row>
    <row r="61" spans="1:4" x14ac:dyDescent="0.25">
      <c r="A61">
        <v>60</v>
      </c>
      <c r="B61" t="s">
        <v>66</v>
      </c>
      <c r="C61" t="s">
        <v>389</v>
      </c>
      <c r="D61" t="s">
        <v>390</v>
      </c>
    </row>
    <row r="62" spans="1:4" x14ac:dyDescent="0.25">
      <c r="A62">
        <v>61</v>
      </c>
      <c r="B62" t="s">
        <v>51</v>
      </c>
      <c r="C62" t="s">
        <v>391</v>
      </c>
      <c r="D62" t="s">
        <v>392</v>
      </c>
    </row>
    <row r="63" spans="1:4" x14ac:dyDescent="0.25">
      <c r="A63">
        <v>62</v>
      </c>
      <c r="B63" t="s">
        <v>67</v>
      </c>
      <c r="C63" t="s">
        <v>393</v>
      </c>
      <c r="D63" t="s">
        <v>394</v>
      </c>
    </row>
    <row r="64" spans="1:4" x14ac:dyDescent="0.25">
      <c r="A64">
        <v>63</v>
      </c>
      <c r="B64" t="s">
        <v>68</v>
      </c>
      <c r="C64" t="s">
        <v>395</v>
      </c>
      <c r="D64" t="s">
        <v>396</v>
      </c>
    </row>
    <row r="65" spans="1:4" x14ac:dyDescent="0.25">
      <c r="A65">
        <v>64</v>
      </c>
      <c r="B65" t="s">
        <v>69</v>
      </c>
      <c r="C65" t="s">
        <v>397</v>
      </c>
      <c r="D65" t="s">
        <v>398</v>
      </c>
    </row>
    <row r="66" spans="1:4" x14ac:dyDescent="0.25">
      <c r="A66">
        <v>65</v>
      </c>
      <c r="B66" t="s">
        <v>70</v>
      </c>
      <c r="C66" t="s">
        <v>399</v>
      </c>
      <c r="D66" t="s">
        <v>400</v>
      </c>
    </row>
    <row r="67" spans="1:4" x14ac:dyDescent="0.25">
      <c r="A67">
        <v>66</v>
      </c>
      <c r="B67" t="s">
        <v>71</v>
      </c>
      <c r="C67" t="s">
        <v>401</v>
      </c>
      <c r="D67" t="s">
        <v>402</v>
      </c>
    </row>
    <row r="68" spans="1:4" x14ac:dyDescent="0.25">
      <c r="A68">
        <v>67</v>
      </c>
      <c r="B68" t="s">
        <v>72</v>
      </c>
      <c r="C68" t="s">
        <v>403</v>
      </c>
      <c r="D68" t="s">
        <v>404</v>
      </c>
    </row>
    <row r="69" spans="1:4" x14ac:dyDescent="0.25">
      <c r="A69">
        <v>68</v>
      </c>
      <c r="B69" t="s">
        <v>73</v>
      </c>
      <c r="C69" t="s">
        <v>405</v>
      </c>
      <c r="D69" t="s">
        <v>406</v>
      </c>
    </row>
    <row r="70" spans="1:4" x14ac:dyDescent="0.25">
      <c r="A70">
        <v>69</v>
      </c>
      <c r="B70" t="s">
        <v>74</v>
      </c>
      <c r="C70" t="s">
        <v>407</v>
      </c>
      <c r="D70" t="s">
        <v>408</v>
      </c>
    </row>
    <row r="71" spans="1:4" x14ac:dyDescent="0.25">
      <c r="A71">
        <v>70</v>
      </c>
      <c r="B71" t="s">
        <v>75</v>
      </c>
      <c r="C71" t="s">
        <v>409</v>
      </c>
      <c r="D71" t="s">
        <v>410</v>
      </c>
    </row>
    <row r="72" spans="1:4" x14ac:dyDescent="0.25">
      <c r="A72">
        <v>71</v>
      </c>
      <c r="B72" t="s">
        <v>76</v>
      </c>
      <c r="C72" t="s">
        <v>411</v>
      </c>
      <c r="D72" t="s">
        <v>412</v>
      </c>
    </row>
    <row r="73" spans="1:4" x14ac:dyDescent="0.25">
      <c r="A73">
        <v>72</v>
      </c>
      <c r="B73" t="s">
        <v>77</v>
      </c>
      <c r="C73" t="s">
        <v>413</v>
      </c>
      <c r="D73" t="s">
        <v>414</v>
      </c>
    </row>
    <row r="74" spans="1:4" x14ac:dyDescent="0.25">
      <c r="A74">
        <v>73</v>
      </c>
      <c r="B74" t="s">
        <v>78</v>
      </c>
      <c r="C74" t="s">
        <v>415</v>
      </c>
      <c r="D74" t="s">
        <v>416</v>
      </c>
    </row>
    <row r="75" spans="1:4" x14ac:dyDescent="0.25">
      <c r="A75">
        <v>74</v>
      </c>
      <c r="B75" t="s">
        <v>79</v>
      </c>
      <c r="C75" t="s">
        <v>417</v>
      </c>
      <c r="D75" t="s">
        <v>418</v>
      </c>
    </row>
    <row r="76" spans="1:4" x14ac:dyDescent="0.25">
      <c r="A76">
        <v>75</v>
      </c>
      <c r="B76" t="s">
        <v>80</v>
      </c>
      <c r="C76" t="s">
        <v>419</v>
      </c>
      <c r="D76" t="s">
        <v>420</v>
      </c>
    </row>
    <row r="77" spans="1:4" x14ac:dyDescent="0.25">
      <c r="A77">
        <v>76</v>
      </c>
      <c r="B77" t="s">
        <v>81</v>
      </c>
      <c r="C77" t="s">
        <v>421</v>
      </c>
      <c r="D77" t="s">
        <v>422</v>
      </c>
    </row>
    <row r="78" spans="1:4" x14ac:dyDescent="0.25">
      <c r="A78">
        <v>77</v>
      </c>
      <c r="B78" t="s">
        <v>82</v>
      </c>
      <c r="C78" t="s">
        <v>423</v>
      </c>
      <c r="D78" t="s">
        <v>424</v>
      </c>
    </row>
    <row r="79" spans="1:4" x14ac:dyDescent="0.25">
      <c r="A79">
        <v>78</v>
      </c>
      <c r="B79" t="s">
        <v>83</v>
      </c>
      <c r="C79" t="s">
        <v>425</v>
      </c>
      <c r="D79" t="s">
        <v>426</v>
      </c>
    </row>
    <row r="80" spans="1:4" x14ac:dyDescent="0.25">
      <c r="A80">
        <v>79</v>
      </c>
      <c r="B80" t="s">
        <v>84</v>
      </c>
      <c r="C80" t="s">
        <v>427</v>
      </c>
      <c r="D80" t="s">
        <v>428</v>
      </c>
    </row>
    <row r="81" spans="1:4" x14ac:dyDescent="0.25">
      <c r="A81">
        <v>80</v>
      </c>
      <c r="B81" t="s">
        <v>85</v>
      </c>
      <c r="C81" t="s">
        <v>429</v>
      </c>
      <c r="D81" t="s">
        <v>430</v>
      </c>
    </row>
    <row r="82" spans="1:4" x14ac:dyDescent="0.25">
      <c r="A82">
        <v>81</v>
      </c>
      <c r="B82" t="s">
        <v>86</v>
      </c>
      <c r="C82" t="s">
        <v>431</v>
      </c>
      <c r="D82" t="s">
        <v>432</v>
      </c>
    </row>
    <row r="83" spans="1:4" x14ac:dyDescent="0.25">
      <c r="A83">
        <v>82</v>
      </c>
      <c r="B83" t="s">
        <v>87</v>
      </c>
      <c r="C83" t="s">
        <v>433</v>
      </c>
      <c r="D83" t="s">
        <v>434</v>
      </c>
    </row>
    <row r="84" spans="1:4" x14ac:dyDescent="0.25">
      <c r="A84">
        <v>83</v>
      </c>
      <c r="B84" t="s">
        <v>88</v>
      </c>
      <c r="C84" t="s">
        <v>435</v>
      </c>
      <c r="D84" t="s">
        <v>436</v>
      </c>
    </row>
    <row r="85" spans="1:4" x14ac:dyDescent="0.25">
      <c r="A85">
        <v>84</v>
      </c>
      <c r="B85" t="s">
        <v>89</v>
      </c>
      <c r="C85" t="s">
        <v>437</v>
      </c>
      <c r="D85" t="s">
        <v>438</v>
      </c>
    </row>
    <row r="86" spans="1:4" x14ac:dyDescent="0.25">
      <c r="A86">
        <v>85</v>
      </c>
      <c r="B86" t="s">
        <v>91</v>
      </c>
      <c r="C86" t="s">
        <v>439</v>
      </c>
      <c r="D86" t="s">
        <v>440</v>
      </c>
    </row>
    <row r="87" spans="1:4" x14ac:dyDescent="0.25">
      <c r="A87">
        <v>86</v>
      </c>
      <c r="B87" t="s">
        <v>92</v>
      </c>
      <c r="C87" t="s">
        <v>441</v>
      </c>
      <c r="D87" t="s">
        <v>442</v>
      </c>
    </row>
    <row r="88" spans="1:4" x14ac:dyDescent="0.25">
      <c r="A88">
        <v>87</v>
      </c>
      <c r="B88" t="s">
        <v>93</v>
      </c>
      <c r="C88" t="s">
        <v>443</v>
      </c>
      <c r="D88" t="s">
        <v>444</v>
      </c>
    </row>
    <row r="89" spans="1:4" x14ac:dyDescent="0.25">
      <c r="A89">
        <v>88</v>
      </c>
      <c r="B89" t="s">
        <v>95</v>
      </c>
      <c r="C89" t="s">
        <v>445</v>
      </c>
      <c r="D89" t="s">
        <v>446</v>
      </c>
    </row>
    <row r="90" spans="1:4" x14ac:dyDescent="0.25">
      <c r="A90">
        <v>89</v>
      </c>
      <c r="B90" t="s">
        <v>96</v>
      </c>
      <c r="C90" t="s">
        <v>447</v>
      </c>
      <c r="D90" t="s">
        <v>448</v>
      </c>
    </row>
    <row r="91" spans="1:4" x14ac:dyDescent="0.25">
      <c r="A91">
        <v>90</v>
      </c>
      <c r="B91" t="s">
        <v>97</v>
      </c>
      <c r="C91" t="s">
        <v>449</v>
      </c>
      <c r="D91" t="s">
        <v>450</v>
      </c>
    </row>
    <row r="92" spans="1:4" x14ac:dyDescent="0.25">
      <c r="A92">
        <v>91</v>
      </c>
      <c r="B92" t="s">
        <v>94</v>
      </c>
      <c r="C92" t="s">
        <v>451</v>
      </c>
      <c r="D92" t="s">
        <v>452</v>
      </c>
    </row>
    <row r="93" spans="1:4" x14ac:dyDescent="0.25">
      <c r="A93">
        <v>92</v>
      </c>
      <c r="B93" t="s">
        <v>98</v>
      </c>
      <c r="C93" t="s">
        <v>453</v>
      </c>
      <c r="D93" t="s">
        <v>454</v>
      </c>
    </row>
    <row r="94" spans="1:4" x14ac:dyDescent="0.25">
      <c r="A94">
        <v>93</v>
      </c>
      <c r="B94" t="s">
        <v>99</v>
      </c>
      <c r="C94" t="s">
        <v>455</v>
      </c>
      <c r="D94" t="s">
        <v>456</v>
      </c>
    </row>
    <row r="95" spans="1:4" x14ac:dyDescent="0.25">
      <c r="A95">
        <v>94</v>
      </c>
      <c r="B95" t="s">
        <v>101</v>
      </c>
      <c r="C95" t="s">
        <v>457</v>
      </c>
      <c r="D95" t="s">
        <v>458</v>
      </c>
    </row>
    <row r="96" spans="1:4" x14ac:dyDescent="0.25">
      <c r="A96">
        <v>95</v>
      </c>
      <c r="B96" t="s">
        <v>102</v>
      </c>
      <c r="C96" t="s">
        <v>459</v>
      </c>
      <c r="D96" t="s">
        <v>460</v>
      </c>
    </row>
    <row r="97" spans="1:4" x14ac:dyDescent="0.25">
      <c r="A97">
        <v>96</v>
      </c>
      <c r="B97" t="s">
        <v>103</v>
      </c>
      <c r="C97" t="s">
        <v>461</v>
      </c>
      <c r="D97" t="s">
        <v>462</v>
      </c>
    </row>
    <row r="98" spans="1:4" x14ac:dyDescent="0.25">
      <c r="A98">
        <v>97</v>
      </c>
      <c r="B98" t="s">
        <v>104</v>
      </c>
      <c r="C98" t="s">
        <v>463</v>
      </c>
      <c r="D98" t="s">
        <v>464</v>
      </c>
    </row>
    <row r="99" spans="1:4" x14ac:dyDescent="0.25">
      <c r="A99">
        <v>98</v>
      </c>
      <c r="B99" t="s">
        <v>105</v>
      </c>
      <c r="C99" t="s">
        <v>465</v>
      </c>
      <c r="D99" t="s">
        <v>466</v>
      </c>
    </row>
    <row r="100" spans="1:4" x14ac:dyDescent="0.25">
      <c r="A100">
        <v>99</v>
      </c>
      <c r="B100" t="s">
        <v>106</v>
      </c>
      <c r="C100" t="s">
        <v>467</v>
      </c>
      <c r="D100" t="s">
        <v>468</v>
      </c>
    </row>
    <row r="101" spans="1:4" x14ac:dyDescent="0.25">
      <c r="A101">
        <v>100</v>
      </c>
      <c r="B101" t="s">
        <v>90</v>
      </c>
      <c r="C101" t="s">
        <v>469</v>
      </c>
      <c r="D101" t="s">
        <v>470</v>
      </c>
    </row>
    <row r="102" spans="1:4" x14ac:dyDescent="0.25">
      <c r="A102">
        <v>101</v>
      </c>
      <c r="B102" t="s">
        <v>107</v>
      </c>
      <c r="C102" t="s">
        <v>471</v>
      </c>
      <c r="D102" t="s">
        <v>472</v>
      </c>
    </row>
    <row r="103" spans="1:4" x14ac:dyDescent="0.25">
      <c r="A103">
        <v>102</v>
      </c>
      <c r="B103" t="s">
        <v>108</v>
      </c>
      <c r="C103" t="s">
        <v>473</v>
      </c>
      <c r="D103" t="s">
        <v>474</v>
      </c>
    </row>
    <row r="104" spans="1:4" x14ac:dyDescent="0.25">
      <c r="A104">
        <v>103</v>
      </c>
      <c r="B104" t="s">
        <v>111</v>
      </c>
      <c r="C104" t="s">
        <v>475</v>
      </c>
      <c r="D104" t="s">
        <v>476</v>
      </c>
    </row>
    <row r="105" spans="1:4" x14ac:dyDescent="0.25">
      <c r="A105">
        <v>104</v>
      </c>
      <c r="B105" t="s">
        <v>112</v>
      </c>
      <c r="C105" t="s">
        <v>477</v>
      </c>
      <c r="D105" t="s">
        <v>478</v>
      </c>
    </row>
    <row r="106" spans="1:4" x14ac:dyDescent="0.25">
      <c r="A106">
        <v>105</v>
      </c>
      <c r="B106" t="s">
        <v>113</v>
      </c>
      <c r="C106" t="s">
        <v>479</v>
      </c>
      <c r="D106" t="s">
        <v>480</v>
      </c>
    </row>
    <row r="107" spans="1:4" x14ac:dyDescent="0.25">
      <c r="A107">
        <v>106</v>
      </c>
      <c r="B107" t="s">
        <v>114</v>
      </c>
      <c r="C107" t="s">
        <v>481</v>
      </c>
      <c r="D107" t="s">
        <v>482</v>
      </c>
    </row>
    <row r="108" spans="1:4" x14ac:dyDescent="0.25">
      <c r="A108">
        <v>107</v>
      </c>
      <c r="B108" t="s">
        <v>115</v>
      </c>
      <c r="C108" t="s">
        <v>483</v>
      </c>
      <c r="D108" t="s">
        <v>484</v>
      </c>
    </row>
    <row r="109" spans="1:4" x14ac:dyDescent="0.25">
      <c r="A109">
        <v>108</v>
      </c>
      <c r="B109" t="s">
        <v>116</v>
      </c>
      <c r="C109" t="s">
        <v>485</v>
      </c>
      <c r="D109" t="s">
        <v>486</v>
      </c>
    </row>
    <row r="110" spans="1:4" x14ac:dyDescent="0.25">
      <c r="A110">
        <v>109</v>
      </c>
      <c r="B110" t="s">
        <v>117</v>
      </c>
      <c r="C110" t="s">
        <v>487</v>
      </c>
      <c r="D110" t="s">
        <v>488</v>
      </c>
    </row>
    <row r="111" spans="1:4" x14ac:dyDescent="0.25">
      <c r="A111">
        <v>110</v>
      </c>
      <c r="B111" t="s">
        <v>118</v>
      </c>
      <c r="C111" t="s">
        <v>489</v>
      </c>
      <c r="D111" t="s">
        <v>490</v>
      </c>
    </row>
    <row r="112" spans="1:4" x14ac:dyDescent="0.25">
      <c r="A112">
        <v>111</v>
      </c>
      <c r="B112" t="s">
        <v>119</v>
      </c>
      <c r="C112" t="s">
        <v>491</v>
      </c>
      <c r="D112" t="s">
        <v>492</v>
      </c>
    </row>
    <row r="113" spans="1:4" x14ac:dyDescent="0.25">
      <c r="A113">
        <v>112</v>
      </c>
      <c r="B113" t="s">
        <v>120</v>
      </c>
      <c r="C113" t="s">
        <v>493</v>
      </c>
      <c r="D113" t="s">
        <v>494</v>
      </c>
    </row>
    <row r="114" spans="1:4" x14ac:dyDescent="0.25">
      <c r="A114">
        <v>113</v>
      </c>
      <c r="B114" t="s">
        <v>121</v>
      </c>
      <c r="C114" t="s">
        <v>495</v>
      </c>
      <c r="D114" t="s">
        <v>496</v>
      </c>
    </row>
    <row r="115" spans="1:4" x14ac:dyDescent="0.25">
      <c r="A115">
        <v>114</v>
      </c>
      <c r="B115" t="s">
        <v>497</v>
      </c>
      <c r="C115" t="s">
        <v>498</v>
      </c>
      <c r="D115" t="s">
        <v>499</v>
      </c>
    </row>
    <row r="116" spans="1:4" x14ac:dyDescent="0.25">
      <c r="A116">
        <v>115</v>
      </c>
      <c r="B116" t="s">
        <v>124</v>
      </c>
      <c r="C116" t="s">
        <v>500</v>
      </c>
      <c r="D116" t="s">
        <v>501</v>
      </c>
    </row>
    <row r="117" spans="1:4" x14ac:dyDescent="0.25">
      <c r="A117">
        <v>116</v>
      </c>
      <c r="B117" t="s">
        <v>125</v>
      </c>
      <c r="C117" t="s">
        <v>502</v>
      </c>
      <c r="D117" t="s">
        <v>503</v>
      </c>
    </row>
    <row r="118" spans="1:4" x14ac:dyDescent="0.25">
      <c r="A118">
        <v>117</v>
      </c>
      <c r="B118" t="s">
        <v>126</v>
      </c>
      <c r="C118" t="s">
        <v>504</v>
      </c>
      <c r="D118" t="s">
        <v>505</v>
      </c>
    </row>
    <row r="119" spans="1:4" x14ac:dyDescent="0.25">
      <c r="A119">
        <v>118</v>
      </c>
      <c r="B119" t="s">
        <v>127</v>
      </c>
      <c r="C119" t="s">
        <v>506</v>
      </c>
      <c r="D119" t="s">
        <v>507</v>
      </c>
    </row>
    <row r="120" spans="1:4" x14ac:dyDescent="0.25">
      <c r="A120">
        <v>119</v>
      </c>
      <c r="B120" t="s">
        <v>128</v>
      </c>
      <c r="C120" t="s">
        <v>508</v>
      </c>
      <c r="D120" t="s">
        <v>509</v>
      </c>
    </row>
    <row r="121" spans="1:4" x14ac:dyDescent="0.25">
      <c r="A121">
        <v>120</v>
      </c>
      <c r="B121" t="s">
        <v>53</v>
      </c>
      <c r="C121" t="s">
        <v>510</v>
      </c>
      <c r="D121" t="s">
        <v>511</v>
      </c>
    </row>
    <row r="122" spans="1:4" x14ac:dyDescent="0.25">
      <c r="A122">
        <v>121</v>
      </c>
      <c r="B122" t="s">
        <v>54</v>
      </c>
      <c r="C122" t="s">
        <v>512</v>
      </c>
      <c r="D122" t="s">
        <v>513</v>
      </c>
    </row>
    <row r="123" spans="1:4" x14ac:dyDescent="0.25">
      <c r="A123">
        <v>122</v>
      </c>
      <c r="B123" t="s">
        <v>55</v>
      </c>
      <c r="C123" t="s">
        <v>514</v>
      </c>
      <c r="D123" t="s">
        <v>515</v>
      </c>
    </row>
    <row r="124" spans="1:4" x14ac:dyDescent="0.25">
      <c r="A124">
        <v>123</v>
      </c>
      <c r="B124" t="s">
        <v>132</v>
      </c>
      <c r="C124" t="s">
        <v>516</v>
      </c>
      <c r="D124" t="s">
        <v>517</v>
      </c>
    </row>
    <row r="125" spans="1:4" x14ac:dyDescent="0.25">
      <c r="A125">
        <v>124</v>
      </c>
      <c r="B125" t="s">
        <v>135</v>
      </c>
      <c r="C125" t="s">
        <v>518</v>
      </c>
      <c r="D125" t="s">
        <v>518</v>
      </c>
    </row>
    <row r="126" spans="1:4" x14ac:dyDescent="0.25">
      <c r="A126">
        <v>125</v>
      </c>
      <c r="B126" t="s">
        <v>130</v>
      </c>
      <c r="C126" t="s">
        <v>519</v>
      </c>
      <c r="D126" t="s">
        <v>520</v>
      </c>
    </row>
    <row r="127" spans="1:4" x14ac:dyDescent="0.25">
      <c r="A127">
        <v>126</v>
      </c>
      <c r="B127" t="s">
        <v>131</v>
      </c>
      <c r="C127" t="s">
        <v>521</v>
      </c>
      <c r="D127" t="s">
        <v>522</v>
      </c>
    </row>
    <row r="128" spans="1:4" x14ac:dyDescent="0.25">
      <c r="A128">
        <v>127</v>
      </c>
      <c r="B128" t="s">
        <v>136</v>
      </c>
      <c r="C128" t="s">
        <v>523</v>
      </c>
      <c r="D128" t="s">
        <v>524</v>
      </c>
    </row>
    <row r="129" spans="1:10" x14ac:dyDescent="0.25">
      <c r="A129">
        <v>128</v>
      </c>
      <c r="B129" t="s">
        <v>137</v>
      </c>
      <c r="C129" t="s">
        <v>525</v>
      </c>
      <c r="D129" t="s">
        <v>526</v>
      </c>
    </row>
    <row r="130" spans="1:10" x14ac:dyDescent="0.25">
      <c r="A130">
        <v>129</v>
      </c>
      <c r="B130" t="s">
        <v>122</v>
      </c>
      <c r="C130" t="s">
        <v>527</v>
      </c>
      <c r="D130" t="s">
        <v>528</v>
      </c>
    </row>
    <row r="131" spans="1:10" x14ac:dyDescent="0.25">
      <c r="A131">
        <v>130</v>
      </c>
      <c r="B131" t="s">
        <v>134</v>
      </c>
      <c r="C131" t="s">
        <v>529</v>
      </c>
      <c r="D131" t="s">
        <v>530</v>
      </c>
    </row>
    <row r="132" spans="1:10" x14ac:dyDescent="0.25">
      <c r="A132">
        <v>131</v>
      </c>
      <c r="B132" t="s">
        <v>129</v>
      </c>
      <c r="C132" t="s">
        <v>531</v>
      </c>
      <c r="D132" t="s">
        <v>532</v>
      </c>
    </row>
    <row r="133" spans="1:10" x14ac:dyDescent="0.25">
      <c r="A133">
        <v>132</v>
      </c>
      <c r="B133" t="s">
        <v>110</v>
      </c>
      <c r="C133" t="s">
        <v>110</v>
      </c>
      <c r="D133" t="s">
        <v>533</v>
      </c>
    </row>
    <row r="134" spans="1:10" x14ac:dyDescent="0.25">
      <c r="A134">
        <v>133</v>
      </c>
      <c r="B134" t="s">
        <v>138</v>
      </c>
      <c r="C134" t="s">
        <v>534</v>
      </c>
      <c r="D134" t="s">
        <v>535</v>
      </c>
      <c r="J134">
        <v>1</v>
      </c>
    </row>
    <row r="135" spans="1:10" x14ac:dyDescent="0.25">
      <c r="A135">
        <v>134</v>
      </c>
      <c r="B135" t="s">
        <v>141</v>
      </c>
      <c r="C135" t="s">
        <v>536</v>
      </c>
      <c r="D135" t="s">
        <v>537</v>
      </c>
      <c r="J135" t="s">
        <v>144</v>
      </c>
    </row>
    <row r="136" spans="1:10" x14ac:dyDescent="0.25">
      <c r="A136">
        <v>135</v>
      </c>
      <c r="B136" t="s">
        <v>145</v>
      </c>
      <c r="C136" t="s">
        <v>538</v>
      </c>
      <c r="D136" t="s">
        <v>539</v>
      </c>
      <c r="J136" t="s">
        <v>147</v>
      </c>
    </row>
    <row r="137" spans="1:10" x14ac:dyDescent="0.25">
      <c r="A137">
        <v>136</v>
      </c>
      <c r="B137" t="s">
        <v>148</v>
      </c>
      <c r="C137" t="s">
        <v>540</v>
      </c>
      <c r="D137" t="s">
        <v>541</v>
      </c>
      <c r="J137" t="s">
        <v>150</v>
      </c>
    </row>
    <row r="138" spans="1:10" x14ac:dyDescent="0.25">
      <c r="A138">
        <v>137</v>
      </c>
      <c r="B138" t="s">
        <v>140</v>
      </c>
      <c r="C138" t="s">
        <v>542</v>
      </c>
      <c r="D138" t="s">
        <v>543</v>
      </c>
    </row>
    <row r="139" spans="1:10" x14ac:dyDescent="0.25">
      <c r="A139">
        <v>138</v>
      </c>
      <c r="B139" t="s">
        <v>143</v>
      </c>
      <c r="C139" t="s">
        <v>544</v>
      </c>
      <c r="D139" t="s">
        <v>545</v>
      </c>
    </row>
    <row r="140" spans="1:10" x14ac:dyDescent="0.25">
      <c r="A140">
        <v>139</v>
      </c>
      <c r="B140" t="s">
        <v>146</v>
      </c>
      <c r="C140" t="s">
        <v>546</v>
      </c>
      <c r="D140" t="s">
        <v>547</v>
      </c>
    </row>
    <row r="141" spans="1:10" x14ac:dyDescent="0.25">
      <c r="A141">
        <v>140</v>
      </c>
      <c r="B141" t="s">
        <v>149</v>
      </c>
      <c r="C141" t="s">
        <v>548</v>
      </c>
      <c r="D141" t="s">
        <v>549</v>
      </c>
    </row>
    <row r="142" spans="1:10" x14ac:dyDescent="0.25">
      <c r="A142">
        <v>141</v>
      </c>
      <c r="B142" t="s">
        <v>151</v>
      </c>
      <c r="C142" t="s">
        <v>550</v>
      </c>
      <c r="D142" t="s">
        <v>551</v>
      </c>
    </row>
    <row r="143" spans="1:10" x14ac:dyDescent="0.25">
      <c r="A143">
        <v>142</v>
      </c>
      <c r="B143" t="s">
        <v>167</v>
      </c>
      <c r="C143" t="s">
        <v>552</v>
      </c>
      <c r="D143" t="s">
        <v>553</v>
      </c>
    </row>
    <row r="144" spans="1:10" x14ac:dyDescent="0.25">
      <c r="A144">
        <v>143</v>
      </c>
      <c r="B144" t="s">
        <v>169</v>
      </c>
      <c r="C144" t="s">
        <v>554</v>
      </c>
      <c r="D144" t="s">
        <v>555</v>
      </c>
    </row>
    <row r="145" spans="1:4" x14ac:dyDescent="0.25">
      <c r="A145">
        <v>144</v>
      </c>
      <c r="B145" t="s">
        <v>155</v>
      </c>
      <c r="C145" t="s">
        <v>556</v>
      </c>
      <c r="D145" t="s">
        <v>557</v>
      </c>
    </row>
    <row r="146" spans="1:4" x14ac:dyDescent="0.25">
      <c r="A146">
        <v>145</v>
      </c>
      <c r="B146" t="s">
        <v>166</v>
      </c>
      <c r="C146" t="s">
        <v>558</v>
      </c>
      <c r="D146" t="s">
        <v>559</v>
      </c>
    </row>
    <row r="147" spans="1:4" x14ac:dyDescent="0.25">
      <c r="A147">
        <v>146</v>
      </c>
      <c r="B147" t="s">
        <v>171</v>
      </c>
      <c r="C147" t="s">
        <v>560</v>
      </c>
      <c r="D147" t="s">
        <v>561</v>
      </c>
    </row>
    <row r="148" spans="1:4" x14ac:dyDescent="0.25">
      <c r="A148">
        <v>147</v>
      </c>
      <c r="B148" t="s">
        <v>159</v>
      </c>
      <c r="C148" t="s">
        <v>562</v>
      </c>
      <c r="D148" t="s">
        <v>563</v>
      </c>
    </row>
    <row r="149" spans="1:4" x14ac:dyDescent="0.25">
      <c r="A149">
        <v>148</v>
      </c>
      <c r="B149" t="s">
        <v>161</v>
      </c>
      <c r="C149" t="s">
        <v>564</v>
      </c>
      <c r="D149" t="s">
        <v>565</v>
      </c>
    </row>
    <row r="150" spans="1:4" x14ac:dyDescent="0.25">
      <c r="A150">
        <v>149</v>
      </c>
      <c r="B150" t="s">
        <v>163</v>
      </c>
      <c r="C150" t="s">
        <v>566</v>
      </c>
      <c r="D150" t="s">
        <v>567</v>
      </c>
    </row>
    <row r="151" spans="1:4" x14ac:dyDescent="0.25">
      <c r="A151">
        <v>150</v>
      </c>
      <c r="B151" t="s">
        <v>172</v>
      </c>
      <c r="C151" t="s">
        <v>568</v>
      </c>
      <c r="D151" t="s">
        <v>569</v>
      </c>
    </row>
    <row r="152" spans="1:4" x14ac:dyDescent="0.25">
      <c r="A152">
        <v>151</v>
      </c>
      <c r="B152" t="s">
        <v>174</v>
      </c>
      <c r="C152" t="s">
        <v>570</v>
      </c>
      <c r="D152" t="s">
        <v>571</v>
      </c>
    </row>
    <row r="153" spans="1:4" x14ac:dyDescent="0.25">
      <c r="A153">
        <v>152</v>
      </c>
      <c r="B153" t="s">
        <v>176</v>
      </c>
      <c r="C153" t="s">
        <v>572</v>
      </c>
      <c r="D153" t="s">
        <v>573</v>
      </c>
    </row>
    <row r="154" spans="1:4" x14ac:dyDescent="0.25">
      <c r="A154">
        <v>153</v>
      </c>
      <c r="B154" t="s">
        <v>178</v>
      </c>
      <c r="C154" t="s">
        <v>574</v>
      </c>
      <c r="D154" t="s">
        <v>575</v>
      </c>
    </row>
    <row r="155" spans="1:4" x14ac:dyDescent="0.25">
      <c r="A155">
        <v>154</v>
      </c>
      <c r="B155" t="s">
        <v>181</v>
      </c>
      <c r="C155" t="s">
        <v>576</v>
      </c>
      <c r="D155" t="s">
        <v>577</v>
      </c>
    </row>
    <row r="156" spans="1:4" x14ac:dyDescent="0.25">
      <c r="A156">
        <v>155</v>
      </c>
      <c r="B156" t="s">
        <v>182</v>
      </c>
      <c r="C156" t="s">
        <v>578</v>
      </c>
      <c r="D156" t="s">
        <v>579</v>
      </c>
    </row>
    <row r="157" spans="1:4" x14ac:dyDescent="0.25">
      <c r="A157">
        <v>156</v>
      </c>
      <c r="B157" t="s">
        <v>152</v>
      </c>
      <c r="C157" t="s">
        <v>580</v>
      </c>
      <c r="D157" t="s">
        <v>581</v>
      </c>
    </row>
    <row r="158" spans="1:4" x14ac:dyDescent="0.25">
      <c r="A158">
        <v>157</v>
      </c>
      <c r="B158" t="s">
        <v>153</v>
      </c>
      <c r="C158" t="s">
        <v>582</v>
      </c>
      <c r="D158" t="s">
        <v>583</v>
      </c>
    </row>
    <row r="159" spans="1:4" x14ac:dyDescent="0.25">
      <c r="A159">
        <v>158</v>
      </c>
      <c r="B159" t="s">
        <v>154</v>
      </c>
      <c r="C159" t="s">
        <v>584</v>
      </c>
      <c r="D159" t="s">
        <v>585</v>
      </c>
    </row>
    <row r="160" spans="1:4" x14ac:dyDescent="0.25">
      <c r="A160">
        <v>159</v>
      </c>
      <c r="B160" t="s">
        <v>156</v>
      </c>
      <c r="C160" t="s">
        <v>586</v>
      </c>
      <c r="D160" t="s">
        <v>587</v>
      </c>
    </row>
    <row r="161" spans="1:10" x14ac:dyDescent="0.25">
      <c r="A161">
        <v>160</v>
      </c>
      <c r="B161" t="s">
        <v>157</v>
      </c>
      <c r="C161" t="s">
        <v>588</v>
      </c>
      <c r="D161" t="s">
        <v>589</v>
      </c>
    </row>
    <row r="162" spans="1:10" x14ac:dyDescent="0.25">
      <c r="A162">
        <v>161</v>
      </c>
      <c r="B162" t="s">
        <v>158</v>
      </c>
      <c r="C162" t="s">
        <v>590</v>
      </c>
      <c r="D162" t="s">
        <v>591</v>
      </c>
    </row>
    <row r="163" spans="1:10" x14ac:dyDescent="0.25">
      <c r="A163">
        <v>162</v>
      </c>
      <c r="B163" t="s">
        <v>160</v>
      </c>
      <c r="C163" t="s">
        <v>592</v>
      </c>
      <c r="D163" t="s">
        <v>593</v>
      </c>
    </row>
    <row r="164" spans="1:10" x14ac:dyDescent="0.25">
      <c r="A164">
        <v>163</v>
      </c>
      <c r="B164" t="s">
        <v>162</v>
      </c>
      <c r="C164" t="s">
        <v>594</v>
      </c>
      <c r="D164" t="s">
        <v>595</v>
      </c>
    </row>
    <row r="165" spans="1:10" x14ac:dyDescent="0.25">
      <c r="A165">
        <v>164</v>
      </c>
      <c r="B165" t="s">
        <v>164</v>
      </c>
      <c r="C165" t="s">
        <v>596</v>
      </c>
      <c r="D165" t="s">
        <v>597</v>
      </c>
    </row>
    <row r="166" spans="1:10" x14ac:dyDescent="0.25">
      <c r="A166">
        <v>165</v>
      </c>
      <c r="B166" t="s">
        <v>165</v>
      </c>
      <c r="C166" t="s">
        <v>598</v>
      </c>
      <c r="D166" t="s">
        <v>599</v>
      </c>
    </row>
    <row r="167" spans="1:10" x14ac:dyDescent="0.25">
      <c r="A167">
        <v>166</v>
      </c>
      <c r="B167" t="s">
        <v>186</v>
      </c>
      <c r="C167" t="s">
        <v>600</v>
      </c>
      <c r="D167" t="s">
        <v>601</v>
      </c>
    </row>
    <row r="168" spans="1:10" x14ac:dyDescent="0.25">
      <c r="A168">
        <v>167</v>
      </c>
      <c r="B168" t="s">
        <v>704</v>
      </c>
      <c r="C168" t="s">
        <v>705</v>
      </c>
      <c r="D168" t="s">
        <v>706</v>
      </c>
    </row>
    <row r="169" spans="1:10" x14ac:dyDescent="0.25">
      <c r="A169">
        <v>168</v>
      </c>
      <c r="B169" t="s">
        <v>170</v>
      </c>
      <c r="C169" t="s">
        <v>602</v>
      </c>
      <c r="D169" t="s">
        <v>603</v>
      </c>
    </row>
    <row r="170" spans="1:10" x14ac:dyDescent="0.25">
      <c r="A170">
        <v>169</v>
      </c>
      <c r="B170" t="s">
        <v>189</v>
      </c>
      <c r="C170" t="s">
        <v>604</v>
      </c>
      <c r="D170" t="s">
        <v>605</v>
      </c>
    </row>
    <row r="171" spans="1:10" x14ac:dyDescent="0.25">
      <c r="A171">
        <v>170</v>
      </c>
      <c r="B171" t="s">
        <v>173</v>
      </c>
      <c r="C171" t="s">
        <v>606</v>
      </c>
      <c r="D171" t="s">
        <v>607</v>
      </c>
    </row>
    <row r="172" spans="1:10" x14ac:dyDescent="0.25">
      <c r="A172">
        <v>171</v>
      </c>
      <c r="B172" t="s">
        <v>175</v>
      </c>
      <c r="C172" t="s">
        <v>608</v>
      </c>
      <c r="D172" t="s">
        <v>609</v>
      </c>
      <c r="H172" t="s">
        <v>199</v>
      </c>
      <c r="I172" t="s">
        <v>200</v>
      </c>
      <c r="J172" t="s">
        <v>201</v>
      </c>
    </row>
    <row r="173" spans="1:10" x14ac:dyDescent="0.25">
      <c r="A173">
        <v>172</v>
      </c>
      <c r="B173" t="s">
        <v>177</v>
      </c>
      <c r="C173" t="s">
        <v>610</v>
      </c>
      <c r="D173" t="s">
        <v>611</v>
      </c>
    </row>
    <row r="174" spans="1:10" x14ac:dyDescent="0.25">
      <c r="A174">
        <v>173</v>
      </c>
      <c r="B174" t="s">
        <v>179</v>
      </c>
      <c r="C174" t="s">
        <v>612</v>
      </c>
      <c r="D174" t="s">
        <v>613</v>
      </c>
    </row>
    <row r="175" spans="1:10" x14ac:dyDescent="0.25">
      <c r="A175">
        <v>174</v>
      </c>
      <c r="B175" t="s">
        <v>180</v>
      </c>
      <c r="C175" t="s">
        <v>614</v>
      </c>
      <c r="D175" t="s">
        <v>615</v>
      </c>
    </row>
    <row r="176" spans="1:10" x14ac:dyDescent="0.25">
      <c r="A176">
        <v>175</v>
      </c>
      <c r="B176" t="s">
        <v>204</v>
      </c>
      <c r="C176" t="s">
        <v>616</v>
      </c>
      <c r="D176" t="s">
        <v>617</v>
      </c>
    </row>
    <row r="177" spans="1:4" x14ac:dyDescent="0.25">
      <c r="A177">
        <v>176</v>
      </c>
      <c r="B177" t="s">
        <v>183</v>
      </c>
      <c r="C177" t="s">
        <v>618</v>
      </c>
      <c r="D177" t="s">
        <v>619</v>
      </c>
    </row>
    <row r="178" spans="1:4" x14ac:dyDescent="0.25">
      <c r="A178">
        <v>177</v>
      </c>
      <c r="B178" t="s">
        <v>184</v>
      </c>
      <c r="C178" t="s">
        <v>620</v>
      </c>
      <c r="D178" t="s">
        <v>621</v>
      </c>
    </row>
    <row r="179" spans="1:4" x14ac:dyDescent="0.25">
      <c r="A179">
        <v>178</v>
      </c>
      <c r="B179" t="s">
        <v>622</v>
      </c>
      <c r="C179" t="s">
        <v>623</v>
      </c>
      <c r="D179" t="s">
        <v>624</v>
      </c>
    </row>
    <row r="180" spans="1:4" x14ac:dyDescent="0.25">
      <c r="A180">
        <v>179</v>
      </c>
      <c r="B180" t="s">
        <v>187</v>
      </c>
      <c r="C180" t="s">
        <v>625</v>
      </c>
      <c r="D180" t="s">
        <v>626</v>
      </c>
    </row>
    <row r="181" spans="1:4" x14ac:dyDescent="0.25">
      <c r="A181">
        <v>180</v>
      </c>
      <c r="B181" t="s">
        <v>188</v>
      </c>
      <c r="C181" t="s">
        <v>627</v>
      </c>
      <c r="D181" t="s">
        <v>628</v>
      </c>
    </row>
    <row r="182" spans="1:4" x14ac:dyDescent="0.25">
      <c r="A182">
        <v>181</v>
      </c>
      <c r="B182" t="s">
        <v>190</v>
      </c>
      <c r="C182" t="s">
        <v>629</v>
      </c>
      <c r="D182" t="s">
        <v>630</v>
      </c>
    </row>
    <row r="183" spans="1:4" x14ac:dyDescent="0.25">
      <c r="A183">
        <v>182</v>
      </c>
      <c r="B183" t="s">
        <v>191</v>
      </c>
      <c r="C183" t="s">
        <v>631</v>
      </c>
      <c r="D183" t="s">
        <v>632</v>
      </c>
    </row>
    <row r="184" spans="1:4" x14ac:dyDescent="0.25">
      <c r="A184">
        <v>183</v>
      </c>
      <c r="B184" t="s">
        <v>193</v>
      </c>
      <c r="C184" t="s">
        <v>633</v>
      </c>
      <c r="D184" t="s">
        <v>634</v>
      </c>
    </row>
    <row r="185" spans="1:4" x14ac:dyDescent="0.25">
      <c r="A185">
        <v>184</v>
      </c>
      <c r="B185" t="s">
        <v>194</v>
      </c>
      <c r="C185" t="s">
        <v>635</v>
      </c>
      <c r="D185" t="s">
        <v>636</v>
      </c>
    </row>
    <row r="186" spans="1:4" x14ac:dyDescent="0.25">
      <c r="A186">
        <v>185</v>
      </c>
      <c r="B186" t="s">
        <v>195</v>
      </c>
      <c r="C186" t="s">
        <v>637</v>
      </c>
      <c r="D186" t="s">
        <v>638</v>
      </c>
    </row>
    <row r="187" spans="1:4" x14ac:dyDescent="0.25">
      <c r="A187">
        <v>186</v>
      </c>
      <c r="B187" t="s">
        <v>196</v>
      </c>
      <c r="C187" t="s">
        <v>639</v>
      </c>
      <c r="D187" t="s">
        <v>640</v>
      </c>
    </row>
    <row r="188" spans="1:4" x14ac:dyDescent="0.25">
      <c r="A188">
        <v>187</v>
      </c>
      <c r="B188" t="s">
        <v>197</v>
      </c>
      <c r="C188" t="s">
        <v>641</v>
      </c>
      <c r="D188" t="s">
        <v>642</v>
      </c>
    </row>
    <row r="189" spans="1:4" x14ac:dyDescent="0.25">
      <c r="A189">
        <v>188</v>
      </c>
      <c r="B189" t="s">
        <v>198</v>
      </c>
      <c r="C189" t="s">
        <v>643</v>
      </c>
      <c r="D189" t="s">
        <v>644</v>
      </c>
    </row>
    <row r="190" spans="1:4" x14ac:dyDescent="0.25">
      <c r="A190">
        <v>189</v>
      </c>
      <c r="B190" t="s">
        <v>202</v>
      </c>
      <c r="C190" t="s">
        <v>645</v>
      </c>
      <c r="D190" t="s">
        <v>646</v>
      </c>
    </row>
    <row r="191" spans="1:4" x14ac:dyDescent="0.25">
      <c r="A191">
        <v>190</v>
      </c>
      <c r="B191" t="s">
        <v>203</v>
      </c>
      <c r="C191" t="s">
        <v>647</v>
      </c>
      <c r="D191" t="s">
        <v>648</v>
      </c>
    </row>
    <row r="192" spans="1:4" x14ac:dyDescent="0.25">
      <c r="A192">
        <v>191</v>
      </c>
      <c r="B192" t="s">
        <v>205</v>
      </c>
      <c r="C192" t="s">
        <v>649</v>
      </c>
      <c r="D192" t="s">
        <v>650</v>
      </c>
    </row>
    <row r="193" spans="1:4" x14ac:dyDescent="0.25">
      <c r="A193">
        <v>192</v>
      </c>
      <c r="B193" t="s">
        <v>206</v>
      </c>
      <c r="C193" t="s">
        <v>651</v>
      </c>
      <c r="D193" t="s">
        <v>652</v>
      </c>
    </row>
    <row r="194" spans="1:4" x14ac:dyDescent="0.25">
      <c r="A194">
        <v>193</v>
      </c>
      <c r="B194" t="s">
        <v>207</v>
      </c>
      <c r="C194" t="s">
        <v>653</v>
      </c>
      <c r="D194" t="s">
        <v>654</v>
      </c>
    </row>
    <row r="195" spans="1:4" x14ac:dyDescent="0.25">
      <c r="A195">
        <v>194</v>
      </c>
      <c r="B195" t="s">
        <v>208</v>
      </c>
      <c r="C195" t="s">
        <v>655</v>
      </c>
      <c r="D195" t="s">
        <v>656</v>
      </c>
    </row>
    <row r="196" spans="1:4" x14ac:dyDescent="0.25">
      <c r="A196">
        <v>195</v>
      </c>
      <c r="B196" t="s">
        <v>210</v>
      </c>
      <c r="C196" t="s">
        <v>657</v>
      </c>
      <c r="D196" t="s">
        <v>658</v>
      </c>
    </row>
    <row r="197" spans="1:4" x14ac:dyDescent="0.25">
      <c r="A197">
        <v>196</v>
      </c>
      <c r="B197" t="s">
        <v>211</v>
      </c>
      <c r="C197" t="s">
        <v>659</v>
      </c>
      <c r="D197" t="s">
        <v>660</v>
      </c>
    </row>
    <row r="198" spans="1:4" x14ac:dyDescent="0.25">
      <c r="A198">
        <v>197</v>
      </c>
      <c r="B198" t="s">
        <v>212</v>
      </c>
      <c r="C198" t="s">
        <v>661</v>
      </c>
      <c r="D198" t="s">
        <v>662</v>
      </c>
    </row>
    <row r="199" spans="1:4" x14ac:dyDescent="0.25">
      <c r="A199">
        <v>198</v>
      </c>
      <c r="B199" t="s">
        <v>213</v>
      </c>
      <c r="C199" t="s">
        <v>663</v>
      </c>
      <c r="D199" t="s">
        <v>664</v>
      </c>
    </row>
    <row r="200" spans="1:4" x14ac:dyDescent="0.25">
      <c r="A200">
        <v>199</v>
      </c>
      <c r="B200" t="s">
        <v>214</v>
      </c>
      <c r="C200" t="s">
        <v>665</v>
      </c>
      <c r="D200" t="s">
        <v>666</v>
      </c>
    </row>
    <row r="201" spans="1:4" x14ac:dyDescent="0.25">
      <c r="A201">
        <v>200</v>
      </c>
      <c r="B201" t="s">
        <v>216</v>
      </c>
      <c r="C201" t="s">
        <v>667</v>
      </c>
      <c r="D201" t="s">
        <v>668</v>
      </c>
    </row>
    <row r="202" spans="1:4" x14ac:dyDescent="0.25">
      <c r="A202">
        <v>201</v>
      </c>
      <c r="B202" t="s">
        <v>217</v>
      </c>
      <c r="C202" t="s">
        <v>669</v>
      </c>
      <c r="D202" t="s">
        <v>670</v>
      </c>
    </row>
    <row r="203" spans="1:4" x14ac:dyDescent="0.25">
      <c r="A203">
        <v>202</v>
      </c>
      <c r="B203" t="s">
        <v>218</v>
      </c>
      <c r="C203" t="s">
        <v>671</v>
      </c>
      <c r="D203" t="s">
        <v>672</v>
      </c>
    </row>
    <row r="204" spans="1:4" x14ac:dyDescent="0.25">
      <c r="A204">
        <v>203</v>
      </c>
      <c r="B204" t="s">
        <v>219</v>
      </c>
      <c r="C204" t="s">
        <v>673</v>
      </c>
      <c r="D204" t="s">
        <v>674</v>
      </c>
    </row>
    <row r="205" spans="1:4" x14ac:dyDescent="0.25">
      <c r="A205">
        <v>204</v>
      </c>
      <c r="B205" t="s">
        <v>220</v>
      </c>
      <c r="C205" t="s">
        <v>675</v>
      </c>
      <c r="D205" t="s">
        <v>676</v>
      </c>
    </row>
    <row r="206" spans="1:4" x14ac:dyDescent="0.25">
      <c r="A206">
        <v>205</v>
      </c>
      <c r="B206" t="s">
        <v>221</v>
      </c>
      <c r="C206" t="s">
        <v>677</v>
      </c>
      <c r="D206" t="s">
        <v>678</v>
      </c>
    </row>
    <row r="207" spans="1:4" x14ac:dyDescent="0.25">
      <c r="A207">
        <v>206</v>
      </c>
      <c r="B207" t="s">
        <v>223</v>
      </c>
      <c r="C207" t="s">
        <v>679</v>
      </c>
      <c r="D207" t="s">
        <v>680</v>
      </c>
    </row>
    <row r="208" spans="1:4" x14ac:dyDescent="0.25">
      <c r="A208">
        <v>207</v>
      </c>
      <c r="B208" t="s">
        <v>224</v>
      </c>
      <c r="C208" t="s">
        <v>681</v>
      </c>
      <c r="D208" t="s">
        <v>682</v>
      </c>
    </row>
    <row r="209" spans="1:4" x14ac:dyDescent="0.25">
      <c r="A209">
        <v>208</v>
      </c>
      <c r="B209" t="s">
        <v>225</v>
      </c>
      <c r="C209" t="s">
        <v>683</v>
      </c>
      <c r="D209" t="s">
        <v>684</v>
      </c>
    </row>
    <row r="210" spans="1:4" x14ac:dyDescent="0.25">
      <c r="A210">
        <v>209</v>
      </c>
      <c r="B210" t="s">
        <v>226</v>
      </c>
      <c r="C210" t="s">
        <v>685</v>
      </c>
      <c r="D210" t="s">
        <v>686</v>
      </c>
    </row>
    <row r="211" spans="1:4" x14ac:dyDescent="0.25">
      <c r="A211">
        <v>210</v>
      </c>
      <c r="B211" t="s">
        <v>228</v>
      </c>
      <c r="C211" t="s">
        <v>687</v>
      </c>
      <c r="D211" t="s">
        <v>688</v>
      </c>
    </row>
    <row r="212" spans="1:4" x14ac:dyDescent="0.25">
      <c r="A212">
        <v>211</v>
      </c>
      <c r="B212" t="s">
        <v>229</v>
      </c>
      <c r="C212" t="s">
        <v>689</v>
      </c>
      <c r="D212" t="s">
        <v>690</v>
      </c>
    </row>
    <row r="213" spans="1:4" x14ac:dyDescent="0.25">
      <c r="A213">
        <v>212</v>
      </c>
      <c r="B213" t="s">
        <v>230</v>
      </c>
      <c r="C213" t="s">
        <v>691</v>
      </c>
      <c r="D213" t="s">
        <v>692</v>
      </c>
    </row>
    <row r="214" spans="1:4" x14ac:dyDescent="0.25">
      <c r="A214">
        <v>213</v>
      </c>
      <c r="B214" t="s">
        <v>192</v>
      </c>
      <c r="C214" t="s">
        <v>693</v>
      </c>
      <c r="D214" t="s">
        <v>694</v>
      </c>
    </row>
    <row r="215" spans="1:4" x14ac:dyDescent="0.25">
      <c r="A215">
        <v>214</v>
      </c>
      <c r="B215" t="s">
        <v>209</v>
      </c>
      <c r="C215" t="s">
        <v>695</v>
      </c>
      <c r="D215" t="s">
        <v>696</v>
      </c>
    </row>
    <row r="216" spans="1:4" x14ac:dyDescent="0.25">
      <c r="A216">
        <v>215</v>
      </c>
      <c r="B216" t="s">
        <v>215</v>
      </c>
      <c r="C216" t="s">
        <v>697</v>
      </c>
      <c r="D216" t="s">
        <v>698</v>
      </c>
    </row>
    <row r="217" spans="1:4" x14ac:dyDescent="0.25">
      <c r="A217">
        <v>216</v>
      </c>
      <c r="B217" t="s">
        <v>222</v>
      </c>
      <c r="C217" t="s">
        <v>699</v>
      </c>
      <c r="D217" t="s">
        <v>700</v>
      </c>
    </row>
    <row r="218" spans="1:4" x14ac:dyDescent="0.25">
      <c r="A218">
        <v>217</v>
      </c>
      <c r="B218" t="s">
        <v>227</v>
      </c>
      <c r="C218" t="s">
        <v>701</v>
      </c>
      <c r="D218" t="s">
        <v>702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3031-AE21-4451-BF0B-62336FEEC00F}">
  <dimension ref="A1:N182"/>
  <sheetViews>
    <sheetView workbookViewId="0">
      <selection activeCell="B16" sqref="B16"/>
    </sheetView>
  </sheetViews>
  <sheetFormatPr baseColWidth="10" defaultColWidth="11.42578125" defaultRowHeight="15" outlineLevelRow="1" x14ac:dyDescent="0.25"/>
  <cols>
    <col min="1" max="1" width="1.140625" customWidth="1"/>
    <col min="2" max="2" width="14.42578125" customWidth="1"/>
    <col min="3" max="3" width="3.28515625" style="24" customWidth="1"/>
    <col min="4" max="4" width="19.7109375" customWidth="1"/>
    <col min="5" max="5" width="19.28515625" customWidth="1"/>
    <col min="6" max="6" width="3.42578125" style="2" customWidth="1"/>
    <col min="7" max="7" width="16.7109375" style="2" customWidth="1"/>
    <col min="8" max="8" width="11.140625" style="31" customWidth="1"/>
    <col min="9" max="9" width="6.42578125" style="31" customWidth="1"/>
    <col min="10" max="10" width="10" style="4" customWidth="1"/>
    <col min="11" max="11" width="13.7109375" style="4" customWidth="1"/>
    <col min="14" max="14" width="14.42578125" bestFit="1" customWidth="1"/>
  </cols>
  <sheetData>
    <row r="1" spans="1:11" ht="25.15" customHeight="1" x14ac:dyDescent="0.25">
      <c r="A1" s="1"/>
      <c r="B1" s="1"/>
      <c r="C1" s="1"/>
      <c r="D1" s="1"/>
      <c r="E1" s="2"/>
      <c r="H1" s="3"/>
      <c r="I1" s="3"/>
      <c r="J1" s="3"/>
    </row>
    <row r="2" spans="1:11" ht="15" customHeight="1" outlineLevel="1" x14ac:dyDescent="0.25">
      <c r="A2" s="5"/>
      <c r="B2" s="314" t="s">
        <v>1</v>
      </c>
      <c r="C2" s="7" t="s">
        <v>2</v>
      </c>
      <c r="D2" s="5" t="str">
        <f>IF([1]Synthese!$C$6&lt;&gt;"",[1]Synthese!$C$6,"")</f>
        <v/>
      </c>
      <c r="E2" s="5"/>
      <c r="F2" s="8"/>
      <c r="G2" s="5" t="s">
        <v>3</v>
      </c>
      <c r="H2" s="9" t="str">
        <f>IF([1]Synthese!I6=0," ",[1]Synthese!I6)</f>
        <v>Non</v>
      </c>
      <c r="I2" s="10" t="str">
        <f>IF([1]Synthese!J6=0," ",[1]Synthese!J6)</f>
        <v xml:space="preserve"> </v>
      </c>
      <c r="J2" s="10"/>
      <c r="K2" s="10"/>
    </row>
    <row r="3" spans="1:11" ht="15" customHeight="1" outlineLevel="1" x14ac:dyDescent="0.25">
      <c r="A3" s="11"/>
      <c r="B3" s="12" t="s">
        <v>4</v>
      </c>
      <c r="C3" s="13" t="s">
        <v>5</v>
      </c>
      <c r="D3" s="14" t="str">
        <f>IF([1]Synthese!$C$7&lt;&gt;"",[1]Synthese!$C$7,"")</f>
        <v/>
      </c>
      <c r="E3" s="5"/>
      <c r="F3" s="5"/>
      <c r="G3" s="5"/>
      <c r="H3" s="9" t="str">
        <f>IF([1]Synthese!$I$7&lt;&gt;"",[1]Synthese!$I$7,"")</f>
        <v/>
      </c>
      <c r="I3" s="5"/>
      <c r="J3" s="15"/>
      <c r="K3" s="15"/>
    </row>
    <row r="4" spans="1:11" ht="15" customHeight="1" outlineLevel="1" x14ac:dyDescent="0.25">
      <c r="A4" s="11"/>
      <c r="B4" s="16"/>
      <c r="C4" s="17" t="s">
        <v>6</v>
      </c>
      <c r="D4" s="5" t="str">
        <f>IF([1]Synthese!$C$8&lt;&gt;"",[1]Synthese!$C$8,"")</f>
        <v/>
      </c>
      <c r="E4" s="18"/>
      <c r="F4" s="18"/>
      <c r="G4" s="18"/>
      <c r="H4" s="19"/>
      <c r="I4" s="20"/>
      <c r="J4" s="21"/>
      <c r="K4" s="15"/>
    </row>
    <row r="5" spans="1:11" ht="7.5" customHeight="1" outlineLevel="1" x14ac:dyDescent="0.25">
      <c r="A5" s="1"/>
      <c r="B5" s="22"/>
      <c r="C5" s="23"/>
      <c r="E5" s="24"/>
      <c r="F5" s="24"/>
      <c r="G5" s="24"/>
      <c r="H5" s="25"/>
      <c r="I5" s="24"/>
      <c r="J5" s="24"/>
      <c r="K5" s="26"/>
    </row>
    <row r="6" spans="1:11" ht="15" customHeight="1" outlineLevel="1" x14ac:dyDescent="0.25">
      <c r="A6" s="5"/>
      <c r="B6" s="27" t="s">
        <v>7</v>
      </c>
      <c r="C6" s="7" t="s">
        <v>2</v>
      </c>
      <c r="D6" s="5" t="str">
        <f>IF([1]Synthese!$C$10&lt;&gt;"",[1]Synthese!$C$10,"")</f>
        <v/>
      </c>
      <c r="E6" s="5"/>
      <c r="F6" s="28" t="s">
        <v>8</v>
      </c>
      <c r="G6" s="29" t="str">
        <f>IF([1]Synthese!$G$10&lt;&gt;"",[1]Synthese!$G$10,"")</f>
        <v/>
      </c>
      <c r="H6" s="29"/>
      <c r="I6" s="29"/>
      <c r="J6" s="29"/>
      <c r="K6" s="29"/>
    </row>
    <row r="7" spans="1:11" ht="15" customHeight="1" outlineLevel="1" x14ac:dyDescent="0.25">
      <c r="A7" s="8"/>
      <c r="B7" s="27"/>
      <c r="C7" s="13" t="s">
        <v>5</v>
      </c>
      <c r="D7" s="14" t="str">
        <f>IF([1]Synthese!$C$11&lt;&gt;"",[1]Synthese!$C$11,"")</f>
        <v/>
      </c>
      <c r="E7" s="5"/>
      <c r="F7" s="5"/>
      <c r="G7" s="29" t="str">
        <f>IF([1]Synthese!$G$11&lt;&gt;"",[1]Synthese!$G$11,"")</f>
        <v/>
      </c>
      <c r="H7" s="29"/>
      <c r="I7" s="5" t="s">
        <v>9</v>
      </c>
      <c r="J7" s="20" t="str">
        <f>IF([1]Synthese!$K$11&lt;&gt;"",[1]Synthese!$K$11,"")</f>
        <v/>
      </c>
      <c r="K7" s="15"/>
    </row>
    <row r="8" spans="1:11" ht="15" customHeight="1" outlineLevel="1" x14ac:dyDescent="0.25">
      <c r="A8" s="8"/>
      <c r="B8" s="27"/>
      <c r="C8" s="17" t="s">
        <v>6</v>
      </c>
      <c r="D8" s="5" t="str">
        <f>IF([1]Synthese!$C$12&lt;&gt;"",[1]Synthese!$C$12,"")</f>
        <v/>
      </c>
      <c r="E8" s="5"/>
      <c r="F8" s="5"/>
      <c r="G8" s="5" t="s">
        <v>10</v>
      </c>
      <c r="H8" s="9" t="str">
        <f>IF([1]Synthese!$H$12&lt;&gt;"",[1]Synthese!$H$12,"")</f>
        <v/>
      </c>
      <c r="I8" s="5" t="s">
        <v>11</v>
      </c>
      <c r="J8" s="29" t="str">
        <f>IF([1]Synthese!$K$12&lt;&gt;"",[1]Synthese!$K$12,"")</f>
        <v/>
      </c>
      <c r="K8" s="29"/>
    </row>
    <row r="9" spans="1:11" ht="7.9" customHeight="1" outlineLevel="1" x14ac:dyDescent="0.25">
      <c r="A9" s="2"/>
      <c r="B9" s="2"/>
      <c r="C9" s="30"/>
      <c r="D9" s="30"/>
      <c r="E9" s="30"/>
    </row>
    <row r="10" spans="1:11" ht="20.45" customHeight="1" outlineLevel="1" x14ac:dyDescent="0.25">
      <c r="A10" s="32" t="str">
        <f>IF([1]Garde!$M$4="Accusé réception de commande","ACCUSE RECEPTION DE COMMANDE","DEVIS")</f>
        <v>DEVIS</v>
      </c>
      <c r="B10" s="315"/>
      <c r="C10" s="315"/>
      <c r="D10" s="315"/>
      <c r="E10" s="315"/>
      <c r="F10" s="315"/>
      <c r="G10" s="315"/>
      <c r="H10" s="315"/>
      <c r="I10" s="315"/>
      <c r="J10" s="315"/>
      <c r="K10" s="316"/>
    </row>
    <row r="11" spans="1:11" ht="15" customHeight="1" outlineLevel="1" x14ac:dyDescent="0.25">
      <c r="A11" s="33" t="s">
        <v>12</v>
      </c>
      <c r="B11" s="317"/>
      <c r="C11" s="33" t="s">
        <v>260</v>
      </c>
      <c r="D11" s="318"/>
      <c r="E11" s="34"/>
      <c r="F11" s="35"/>
      <c r="G11" s="35"/>
      <c r="H11" s="36" t="s">
        <v>13</v>
      </c>
      <c r="I11" s="36" t="s">
        <v>14</v>
      </c>
      <c r="J11" s="36" t="s">
        <v>15</v>
      </c>
      <c r="K11" s="36" t="s">
        <v>16</v>
      </c>
    </row>
    <row r="12" spans="1:11" ht="15" customHeight="1" outlineLevel="1" x14ac:dyDescent="0.25">
      <c r="A12" s="37" t="s">
        <v>17</v>
      </c>
      <c r="B12" s="319"/>
      <c r="C12" s="320"/>
      <c r="D12" s="321"/>
      <c r="E12" s="35"/>
      <c r="F12" s="35"/>
      <c r="G12" s="35"/>
      <c r="H12" s="322"/>
      <c r="I12" s="322"/>
      <c r="J12" s="322"/>
      <c r="K12" s="322"/>
    </row>
    <row r="13" spans="1:11" ht="15" customHeight="1" outlineLevel="1" x14ac:dyDescent="0.25">
      <c r="A13" s="40"/>
      <c r="D13" s="41"/>
      <c r="H13" s="323"/>
      <c r="I13" s="323"/>
      <c r="J13" s="323"/>
      <c r="K13" s="323"/>
    </row>
    <row r="14" spans="1:11" s="35" customFormat="1" ht="15" customHeight="1" outlineLevel="1" x14ac:dyDescent="0.25">
      <c r="A14" s="42" t="s">
        <v>18</v>
      </c>
      <c r="B14" s="324"/>
      <c r="C14" s="324"/>
      <c r="D14" s="324"/>
      <c r="E14" s="324"/>
      <c r="F14" s="324"/>
      <c r="G14" s="324"/>
      <c r="H14" s="43"/>
      <c r="I14" s="44" t="s">
        <v>19</v>
      </c>
      <c r="J14" s="45" t="s">
        <v>232</v>
      </c>
      <c r="K14" s="46" t="e">
        <f>+J14*$C12</f>
        <v>#VALUE!</v>
      </c>
    </row>
    <row r="15" spans="1:11" s="35" customFormat="1" outlineLevel="1" x14ac:dyDescent="0.25">
      <c r="A15" s="47" t="s">
        <v>20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10"/>
    </row>
    <row r="16" spans="1:11" s="35" customFormat="1" outlineLevel="1" x14ac:dyDescent="0.25">
      <c r="A16" s="48"/>
      <c r="B16" t="s">
        <v>21</v>
      </c>
      <c r="C16" s="24"/>
      <c r="D16" s="49"/>
      <c r="E16" s="50"/>
      <c r="F16" s="50"/>
      <c r="G16" s="51"/>
      <c r="H16" s="52"/>
      <c r="I16" s="52" t="s">
        <v>19</v>
      </c>
      <c r="J16" s="53"/>
      <c r="K16" s="54"/>
    </row>
    <row r="17" spans="1:14" s="35" customFormat="1" outlineLevel="1" x14ac:dyDescent="0.25">
      <c r="A17" s="48"/>
      <c r="B17" t="s">
        <v>23</v>
      </c>
      <c r="C17" s="24"/>
      <c r="D17" s="49"/>
      <c r="E17" s="55" t="s">
        <v>24</v>
      </c>
      <c r="F17" s="50"/>
      <c r="G17" s="51"/>
      <c r="H17" s="52"/>
      <c r="I17" s="52" t="s">
        <v>19</v>
      </c>
      <c r="J17" s="53"/>
      <c r="K17" s="54"/>
    </row>
    <row r="18" spans="1:14" s="35" customFormat="1" outlineLevel="1" x14ac:dyDescent="0.25">
      <c r="A18" s="48"/>
      <c r="B18" t="s">
        <v>26</v>
      </c>
      <c r="C18" s="24"/>
      <c r="D18" s="49"/>
      <c r="E18" s="55" t="s">
        <v>24</v>
      </c>
      <c r="F18" s="50"/>
      <c r="G18" s="51"/>
      <c r="H18" s="52"/>
      <c r="I18" s="52" t="s">
        <v>19</v>
      </c>
      <c r="J18" s="53"/>
      <c r="K18" s="54"/>
    </row>
    <row r="19" spans="1:14" s="35" customFormat="1" outlineLevel="1" x14ac:dyDescent="0.25">
      <c r="A19" s="48"/>
      <c r="B19" s="56" t="s">
        <v>28</v>
      </c>
      <c r="C19" s="24"/>
      <c r="D19" s="49"/>
      <c r="E19" s="55"/>
      <c r="F19" s="2"/>
      <c r="G19" s="57"/>
      <c r="H19" s="58"/>
      <c r="I19" s="54"/>
      <c r="J19" s="53"/>
      <c r="K19" s="54"/>
    </row>
    <row r="20" spans="1:14" s="35" customFormat="1" outlineLevel="1" x14ac:dyDescent="0.25">
      <c r="A20" s="48"/>
      <c r="B20" t="s">
        <v>29</v>
      </c>
      <c r="C20" s="24"/>
      <c r="D20"/>
      <c r="E20" s="325"/>
      <c r="F20" s="2"/>
      <c r="G20" s="57"/>
      <c r="H20" s="61" t="s">
        <v>30</v>
      </c>
      <c r="I20" s="62" t="s">
        <v>31</v>
      </c>
      <c r="J20" s="54" t="str">
        <f>IF(I20&lt;&gt;0,H20," ")</f>
        <v>inclus</v>
      </c>
      <c r="K20" s="54"/>
    </row>
    <row r="21" spans="1:14" s="35" customFormat="1" outlineLevel="1" x14ac:dyDescent="0.25">
      <c r="A21" s="40"/>
      <c r="B21" t="s">
        <v>32</v>
      </c>
      <c r="C21" s="24"/>
      <c r="D21"/>
      <c r="E21" s="60"/>
      <c r="F21" s="2"/>
      <c r="G21" s="57"/>
      <c r="H21" s="58">
        <f>ROUND(+[1]Tarifs!R5,0)</f>
        <v>517</v>
      </c>
      <c r="I21" s="59"/>
      <c r="J21" s="54" t="str">
        <f t="shared" ref="J21:J24" si="0">IF(I21&lt;&gt;0,H21," ")</f>
        <v xml:space="preserve"> </v>
      </c>
      <c r="K21" s="54" t="str">
        <f>IF(J21&lt;&gt;" ",J21*C$12," ")</f>
        <v xml:space="preserve"> </v>
      </c>
    </row>
    <row r="22" spans="1:14" s="35" customFormat="1" outlineLevel="1" x14ac:dyDescent="0.25">
      <c r="A22" s="40"/>
      <c r="B22" t="s">
        <v>33</v>
      </c>
      <c r="C22" s="24"/>
      <c r="D22"/>
      <c r="E22" s="326" t="s">
        <v>34</v>
      </c>
      <c r="F22" s="2"/>
      <c r="G22" s="57"/>
      <c r="H22" s="61">
        <f>ROUND(+[1]Tarifs!AA5,0)</f>
        <v>1826</v>
      </c>
      <c r="I22" s="59"/>
      <c r="J22" s="54" t="str">
        <f t="shared" si="0"/>
        <v xml:space="preserve"> </v>
      </c>
      <c r="K22" s="54" t="str">
        <f>IF(J22&lt;&gt;" ",J22*C$12," ")</f>
        <v xml:space="preserve"> </v>
      </c>
    </row>
    <row r="23" spans="1:14" s="35" customFormat="1" outlineLevel="1" x14ac:dyDescent="0.25">
      <c r="A23" s="40"/>
      <c r="B23" s="66" t="str">
        <f>IF(OR(COUNTA(I20:I24)=0,COUNTA(I20:I24)&gt;1),"Choix obligatoire", "")</f>
        <v/>
      </c>
      <c r="C23" s="66"/>
      <c r="D23" s="66"/>
      <c r="E23" t="s">
        <v>35</v>
      </c>
      <c r="F23" s="2"/>
      <c r="G23" s="57"/>
      <c r="H23" s="61">
        <f>+H22</f>
        <v>1826</v>
      </c>
      <c r="I23" s="59"/>
      <c r="J23" s="53" t="str">
        <f t="shared" si="0"/>
        <v xml:space="preserve"> </v>
      </c>
      <c r="K23" s="54" t="str">
        <f>IF(J23&lt;&gt;" ",J23*C$12," ")</f>
        <v xml:space="preserve"> </v>
      </c>
      <c r="N23" s="67"/>
    </row>
    <row r="24" spans="1:14" s="35" customFormat="1" outlineLevel="1" x14ac:dyDescent="0.25">
      <c r="A24" s="40"/>
      <c r="B24" s="66"/>
      <c r="C24" s="66"/>
      <c r="D24" s="66"/>
      <c r="E24" t="s">
        <v>36</v>
      </c>
      <c r="F24" s="2"/>
      <c r="G24" s="57"/>
      <c r="H24" s="61">
        <f>ROUND(+[1]Tarifs!AB5,0)</f>
        <v>2163</v>
      </c>
      <c r="I24" s="59"/>
      <c r="J24" s="53" t="str">
        <f t="shared" si="0"/>
        <v xml:space="preserve"> </v>
      </c>
      <c r="K24" s="54" t="str">
        <f>IF(J24&lt;&gt;" ",J24*C$12," ")</f>
        <v xml:space="preserve"> </v>
      </c>
    </row>
    <row r="25" spans="1:14" s="35" customFormat="1" outlineLevel="1" x14ac:dyDescent="0.25">
      <c r="A25" s="47" t="s">
        <v>37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10"/>
    </row>
    <row r="26" spans="1:14" s="35" customFormat="1" outlineLevel="1" x14ac:dyDescent="0.25">
      <c r="A26" s="48"/>
      <c r="B26" t="s">
        <v>38</v>
      </c>
      <c r="C26" s="24"/>
      <c r="D26"/>
      <c r="F26" s="68" t="str">
        <f>IF(OR(COUNTA(I26:I27)=0,COUNTA(I26:I27)&gt;1),"Choix obligatoire"," ")</f>
        <v xml:space="preserve"> </v>
      </c>
      <c r="G26" s="68"/>
      <c r="H26" s="61" t="s">
        <v>30</v>
      </c>
      <c r="I26" s="69" t="s">
        <v>31</v>
      </c>
      <c r="J26" s="53" t="str">
        <f>IF(I26&lt;&gt;0,H26," ")</f>
        <v>inclus</v>
      </c>
      <c r="K26" s="54"/>
    </row>
    <row r="27" spans="1:14" s="35" customFormat="1" outlineLevel="1" x14ac:dyDescent="0.25">
      <c r="A27" s="48"/>
      <c r="B27" t="s">
        <v>39</v>
      </c>
      <c r="C27" s="24"/>
      <c r="D27"/>
      <c r="E27"/>
      <c r="F27" s="68"/>
      <c r="G27" s="68"/>
      <c r="H27" s="61">
        <f>ROUND(+[1]Tarifs!N5,0)</f>
        <v>1977</v>
      </c>
      <c r="I27" s="69"/>
      <c r="J27" s="53" t="str">
        <f>IF(I27&lt;&gt;0,H27," ")</f>
        <v xml:space="preserve"> </v>
      </c>
      <c r="K27" s="54" t="str">
        <f>IF(J27&lt;&gt;" ",J27*C$12," ")</f>
        <v xml:space="preserve"> </v>
      </c>
    </row>
    <row r="28" spans="1:14" s="35" customFormat="1" outlineLevel="1" x14ac:dyDescent="0.25">
      <c r="A28" s="48"/>
      <c r="B28" s="24"/>
      <c r="C28" s="327"/>
      <c r="D28" s="327"/>
      <c r="E28" s="328" t="s">
        <v>41</v>
      </c>
      <c r="F28" s="70"/>
      <c r="G28" s="72"/>
      <c r="H28" s="61" t="s">
        <v>30</v>
      </c>
      <c r="I28" s="61" t="s">
        <v>31</v>
      </c>
      <c r="J28" s="53" t="str">
        <f>IF(I28&lt;&gt;0,H28," ")</f>
        <v>inclus</v>
      </c>
      <c r="K28" s="54"/>
    </row>
    <row r="29" spans="1:14" s="35" customFormat="1" ht="15.75" customHeight="1" outlineLevel="1" x14ac:dyDescent="0.25">
      <c r="A29" s="47" t="s">
        <v>43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10"/>
    </row>
    <row r="30" spans="1:14" ht="15" customHeight="1" outlineLevel="1" x14ac:dyDescent="0.25">
      <c r="A30" s="40"/>
      <c r="B30" t="str">
        <f>IF(E11="2 Pentes","Descentes de gouttières du chalet hors pergola","Chéneau et descente de gouttières du chalet hors pergola")</f>
        <v>Chéneau et descente de gouttières du chalet hors pergola</v>
      </c>
      <c r="F30" s="49"/>
      <c r="G30" s="49"/>
      <c r="H30" s="58">
        <f>ROUND(IF(E11="2 Pentes",[1]Tarifs!AS5,[1]Tarifs!AR5),0)</f>
        <v>417</v>
      </c>
      <c r="I30" s="62"/>
      <c r="J30" s="54" t="str">
        <f t="shared" ref="J30:J34" si="1">IF(I30&lt;&gt;0,H30," ")</f>
        <v xml:space="preserve"> </v>
      </c>
      <c r="K30" s="54" t="str">
        <f t="shared" ref="K30:K34" si="2">IF(J30&lt;&gt;" ",J30*C$12," ")</f>
        <v xml:space="preserve"> </v>
      </c>
    </row>
    <row r="31" spans="1:14" ht="15" customHeight="1" outlineLevel="1" x14ac:dyDescent="0.25">
      <c r="A31" s="40"/>
      <c r="B31" s="24" t="s">
        <v>47</v>
      </c>
      <c r="D31" s="24"/>
      <c r="E31" s="24"/>
      <c r="F31" s="78"/>
      <c r="G31" s="79"/>
      <c r="H31" s="58">
        <f>[1]Morea!H35</f>
        <v>65</v>
      </c>
      <c r="I31" s="62"/>
      <c r="J31" s="54" t="str">
        <f t="shared" si="1"/>
        <v xml:space="preserve"> </v>
      </c>
      <c r="K31" s="54" t="str">
        <f t="shared" si="2"/>
        <v xml:space="preserve"> </v>
      </c>
    </row>
    <row r="32" spans="1:14" ht="15" customHeight="1" outlineLevel="1" x14ac:dyDescent="0.25">
      <c r="A32" s="40"/>
      <c r="B32" t="s">
        <v>48</v>
      </c>
      <c r="E32" s="55"/>
      <c r="F32" s="37" t="str">
        <f>_xlfn.IFS(I31="x","Ganivelle",I32="x","Lames horizontales",I30="","")</f>
        <v/>
      </c>
      <c r="G32" s="319"/>
      <c r="H32" s="58">
        <f>[1]Morea!H36</f>
        <v>283</v>
      </c>
      <c r="I32" s="62"/>
      <c r="J32" s="54" t="str">
        <f t="shared" si="1"/>
        <v xml:space="preserve"> </v>
      </c>
      <c r="K32" s="54" t="str">
        <f t="shared" si="2"/>
        <v xml:space="preserve"> </v>
      </c>
      <c r="L32" s="82"/>
    </row>
    <row r="33" spans="1:14" ht="15" customHeight="1" outlineLevel="1" x14ac:dyDescent="0.25">
      <c r="A33" s="40"/>
      <c r="B33" t="s">
        <v>49</v>
      </c>
      <c r="E33" s="55" t="s">
        <v>17</v>
      </c>
      <c r="F33" s="83"/>
      <c r="G33" s="84"/>
      <c r="H33" s="61">
        <f>ROUND(+[1]Tarifs!AY5,0)</f>
        <v>218</v>
      </c>
      <c r="I33" s="62"/>
      <c r="J33" s="54" t="str">
        <f>IF(I33&lt;&gt;0,H33*F33," ")</f>
        <v xml:space="preserve"> </v>
      </c>
      <c r="K33" s="54" t="str">
        <f>IF(J33&lt;&gt;" ",J33*C$12," ")</f>
        <v xml:space="preserve"> </v>
      </c>
    </row>
    <row r="34" spans="1:14" ht="15" customHeight="1" outlineLevel="1" x14ac:dyDescent="0.25">
      <c r="A34" s="40"/>
      <c r="B34" t="s">
        <v>50</v>
      </c>
      <c r="E34" s="2" t="s">
        <v>51</v>
      </c>
      <c r="F34" s="85"/>
      <c r="G34" s="86"/>
      <c r="H34" s="329">
        <f>IF(SUMIF(F35:F37,"o",E35:E37)=0,"Non",SUMIF(F35:F37,"o",E35:E37))</f>
        <v>578.55000000000007</v>
      </c>
      <c r="I34" s="73"/>
      <c r="J34" s="54" t="str">
        <f t="shared" si="1"/>
        <v xml:space="preserve"> </v>
      </c>
      <c r="K34" s="54" t="str">
        <f t="shared" si="2"/>
        <v xml:space="preserve"> </v>
      </c>
    </row>
    <row r="35" spans="1:14" ht="15" customHeight="1" outlineLevel="1" x14ac:dyDescent="0.25">
      <c r="A35" s="40"/>
      <c r="B35" s="88" t="s">
        <v>52</v>
      </c>
      <c r="C35" s="88"/>
      <c r="D35" s="88"/>
      <c r="E35" s="330">
        <f>[1]Morea!E39</f>
        <v>578.55000000000007</v>
      </c>
      <c r="F35" s="73" t="s">
        <v>233</v>
      </c>
      <c r="G35" s="90" t="s">
        <v>53</v>
      </c>
      <c r="H35" s="91"/>
      <c r="I35" s="73"/>
      <c r="J35" s="53"/>
      <c r="K35" s="54"/>
    </row>
    <row r="36" spans="1:14" ht="15" customHeight="1" outlineLevel="1" x14ac:dyDescent="0.25">
      <c r="A36" s="40"/>
      <c r="B36" s="88"/>
      <c r="C36" s="88"/>
      <c r="D36" s="88"/>
      <c r="E36" s="330">
        <f>[1]Morea!E40</f>
        <v>578.55000000000007</v>
      </c>
      <c r="F36" s="73"/>
      <c r="G36" s="90" t="s">
        <v>54</v>
      </c>
      <c r="H36" s="91"/>
      <c r="I36" s="73"/>
      <c r="J36" s="53"/>
      <c r="K36" s="54"/>
    </row>
    <row r="37" spans="1:14" ht="15" customHeight="1" outlineLevel="1" x14ac:dyDescent="0.25">
      <c r="A37" s="40"/>
      <c r="B37" s="88"/>
      <c r="C37" s="88"/>
      <c r="D37" s="88"/>
      <c r="E37" s="330">
        <f>[1]Morea!E41</f>
        <v>578.55000000000007</v>
      </c>
      <c r="F37" s="73"/>
      <c r="G37" s="90" t="s">
        <v>55</v>
      </c>
      <c r="H37" s="91"/>
      <c r="I37" s="73"/>
      <c r="J37" s="53"/>
      <c r="K37" s="54"/>
    </row>
    <row r="38" spans="1:14" ht="15" customHeight="1" outlineLevel="1" x14ac:dyDescent="0.25">
      <c r="A38" s="40"/>
      <c r="B38" t="s">
        <v>56</v>
      </c>
      <c r="E38" s="92"/>
      <c r="F38" s="93" t="s">
        <v>57</v>
      </c>
      <c r="G38" s="94"/>
      <c r="H38" s="329">
        <f>[1]Morea!H42</f>
        <v>443</v>
      </c>
      <c r="I38" s="74"/>
      <c r="J38" s="53" t="str">
        <f>IF(I38&lt;&gt;0,H38*G38," ")</f>
        <v xml:space="preserve"> </v>
      </c>
      <c r="K38" s="54" t="str">
        <f>IF(J38&lt;&gt;" ",J38*C$12," ")</f>
        <v xml:space="preserve"> </v>
      </c>
      <c r="L38" s="2"/>
      <c r="N38" s="2"/>
    </row>
    <row r="39" spans="1:14" ht="15" customHeight="1" outlineLevel="1" x14ac:dyDescent="0.25">
      <c r="A39" s="40"/>
      <c r="B39" t="s">
        <v>58</v>
      </c>
      <c r="E39" s="96"/>
      <c r="F39" s="96" t="s">
        <v>57</v>
      </c>
      <c r="G39" s="94"/>
      <c r="H39" s="329">
        <f>[1]Morea!H43</f>
        <v>54</v>
      </c>
      <c r="I39" s="74"/>
      <c r="J39" s="53" t="str">
        <f>IF(I39&lt;&gt;0,H39*G39," ")</f>
        <v xml:space="preserve"> </v>
      </c>
      <c r="K39" s="54" t="str">
        <f>IF(J39&lt;&gt;" ",J39*C$12," ")</f>
        <v xml:space="preserve"> </v>
      </c>
      <c r="L39" s="2"/>
      <c r="N39" s="2"/>
    </row>
    <row r="40" spans="1:14" s="35" customFormat="1" ht="15" customHeight="1" outlineLevel="1" x14ac:dyDescent="0.25">
      <c r="A40" s="47" t="s">
        <v>59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10"/>
    </row>
    <row r="41" spans="1:14" ht="15" customHeight="1" outlineLevel="1" x14ac:dyDescent="0.25">
      <c r="A41" s="40"/>
      <c r="B41" s="97" t="s">
        <v>60</v>
      </c>
      <c r="C41" s="98"/>
      <c r="D41" s="57"/>
      <c r="E41" s="57"/>
      <c r="F41" s="57"/>
      <c r="G41" s="57"/>
      <c r="H41" s="99">
        <f>ROUND(+[1]Tarifs!BC5,0)</f>
        <v>1015</v>
      </c>
      <c r="I41" s="69"/>
      <c r="J41" s="53" t="str">
        <f>IF(I41&lt;&gt;0,H41," ")</f>
        <v xml:space="preserve"> </v>
      </c>
      <c r="K41" s="54" t="str">
        <f t="shared" ref="K41:K69" si="3">IF(J41&lt;&gt;" ",J41*C$12," ")</f>
        <v xml:space="preserve"> </v>
      </c>
    </row>
    <row r="42" spans="1:14" ht="15" customHeight="1" outlineLevel="1" x14ac:dyDescent="0.25">
      <c r="A42" s="40"/>
      <c r="B42" s="97" t="s">
        <v>61</v>
      </c>
      <c r="C42" s="98"/>
      <c r="D42" s="57"/>
      <c r="E42" s="57"/>
      <c r="F42" s="57"/>
      <c r="G42" s="57"/>
      <c r="H42" s="99">
        <f>ROUND(+[1]Tarifs!BF5,0)</f>
        <v>955</v>
      </c>
      <c r="I42" s="69"/>
      <c r="J42" s="53" t="str">
        <f>IF(I42&lt;&gt;0,H42," ")</f>
        <v xml:space="preserve"> </v>
      </c>
      <c r="K42" s="54" t="str">
        <f t="shared" si="3"/>
        <v xml:space="preserve"> </v>
      </c>
    </row>
    <row r="43" spans="1:14" ht="15" hidden="1" customHeight="1" outlineLevel="1" x14ac:dyDescent="0.25">
      <c r="A43" s="40"/>
      <c r="B43" s="97" t="s">
        <v>62</v>
      </c>
      <c r="C43" s="98"/>
      <c r="D43" s="57"/>
      <c r="E43" s="57"/>
      <c r="F43" s="57"/>
      <c r="G43" s="57"/>
      <c r="H43" s="99">
        <f>ROUND(+[1]Tarifs!BI5,0)</f>
        <v>962</v>
      </c>
      <c r="I43" s="69"/>
      <c r="J43" s="53" t="str">
        <f t="shared" ref="J43" si="4">IF(I43&lt;&gt;0,H43," ")</f>
        <v xml:space="preserve"> </v>
      </c>
      <c r="K43" s="54" t="str">
        <f t="shared" si="3"/>
        <v xml:space="preserve"> </v>
      </c>
    </row>
    <row r="44" spans="1:14" ht="15" customHeight="1" outlineLevel="1" x14ac:dyDescent="0.25">
      <c r="A44" s="40"/>
      <c r="B44" t="s">
        <v>63</v>
      </c>
      <c r="F44" s="31"/>
      <c r="G44" s="100"/>
      <c r="H44" s="61">
        <f>[1]Morea!H48</f>
        <v>205</v>
      </c>
      <c r="I44" s="69"/>
      <c r="J44" s="53" t="str">
        <f>IF(I44&lt;&gt;0,H44," ")</f>
        <v xml:space="preserve"> </v>
      </c>
      <c r="K44" s="54" t="str">
        <f>IF(J44&lt;&gt;" ",J44*C$12," ")</f>
        <v xml:space="preserve"> </v>
      </c>
    </row>
    <row r="45" spans="1:14" ht="15" customHeight="1" outlineLevel="1" x14ac:dyDescent="0.25">
      <c r="A45" s="40"/>
      <c r="B45" t="s">
        <v>64</v>
      </c>
      <c r="F45" s="31"/>
      <c r="G45" s="101" t="str">
        <f>IF(SUM(COUNTA(I41)+COUNTA(I45))=2,"incompatible avec un isolant sol"," ")</f>
        <v xml:space="preserve"> </v>
      </c>
      <c r="H45" s="61">
        <f>([1]Morea!H49/25)*20</f>
        <v>236</v>
      </c>
      <c r="I45" s="69"/>
      <c r="J45" s="53" t="str">
        <f t="shared" ref="J45" si="5">IF(I45&lt;&gt;0,H45," ")</f>
        <v xml:space="preserve"> </v>
      </c>
      <c r="K45" s="54" t="str">
        <f>IF(J45&lt;&gt;" ",J45*C$12," ")</f>
        <v xml:space="preserve"> </v>
      </c>
    </row>
    <row r="46" spans="1:14" ht="15" customHeight="1" outlineLevel="1" x14ac:dyDescent="0.25">
      <c r="A46" s="40"/>
      <c r="B46" t="s">
        <v>65</v>
      </c>
      <c r="F46" s="31"/>
      <c r="G46" s="31"/>
      <c r="H46" s="61">
        <f>[1]Morea!H50</f>
        <v>514</v>
      </c>
      <c r="I46" s="69"/>
      <c r="J46" s="53" t="str">
        <f>IF(I46&lt;&gt;0,H46," ")</f>
        <v xml:space="preserve"> </v>
      </c>
      <c r="K46" s="54" t="str">
        <f>IF(J46&lt;&gt;" ",J46*C$12," ")</f>
        <v xml:space="preserve"> </v>
      </c>
    </row>
    <row r="47" spans="1:14" ht="15" customHeight="1" outlineLevel="1" x14ac:dyDescent="0.25">
      <c r="A47" s="47" t="s">
        <v>67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10"/>
    </row>
    <row r="48" spans="1:14" ht="15" customHeight="1" outlineLevel="1" x14ac:dyDescent="0.25">
      <c r="A48" s="40"/>
      <c r="B48" t="s">
        <v>68</v>
      </c>
      <c r="F48" s="31"/>
      <c r="G48" s="100"/>
      <c r="H48" s="61">
        <f>ROUND([1]Morea!H53/2,0)</f>
        <v>100</v>
      </c>
      <c r="I48" s="69"/>
      <c r="J48" s="53" t="str">
        <f>IF(I48&lt;&gt;0,H48," ")</f>
        <v xml:space="preserve"> </v>
      </c>
      <c r="K48" s="54" t="str">
        <f>IF(J48&lt;&gt;" ",J48*C$12," ")</f>
        <v xml:space="preserve"> </v>
      </c>
    </row>
    <row r="49" spans="1:14" ht="15" customHeight="1" outlineLevel="1" x14ac:dyDescent="0.25">
      <c r="A49" s="40"/>
      <c r="B49" t="s">
        <v>69</v>
      </c>
      <c r="F49" s="31"/>
      <c r="G49" s="31"/>
      <c r="H49" s="58">
        <f>[1]Morea!H54</f>
        <v>117</v>
      </c>
      <c r="I49" s="69"/>
      <c r="J49" s="53" t="str">
        <f>IF(I49&lt;&gt;0,H49," ")</f>
        <v xml:space="preserve"> </v>
      </c>
      <c r="K49" s="54" t="str">
        <f>IF(J49&lt;&gt;" ",J49*C$12," ")</f>
        <v xml:space="preserve"> </v>
      </c>
    </row>
    <row r="50" spans="1:14" ht="15" customHeight="1" outlineLevel="1" x14ac:dyDescent="0.25">
      <c r="A50" s="40"/>
      <c r="B50" t="s">
        <v>70</v>
      </c>
      <c r="F50" s="31"/>
      <c r="G50" s="100"/>
      <c r="H50" s="91">
        <f>ROUND([1]Morea!H55/2,0)</f>
        <v>207</v>
      </c>
      <c r="I50" s="69"/>
      <c r="J50" s="53" t="str">
        <f>IF(I50&lt;&gt;0,H50," ")</f>
        <v xml:space="preserve"> </v>
      </c>
      <c r="K50" s="54" t="str">
        <f>IF(J50&lt;&gt;" ",J50*C$12," ")</f>
        <v xml:space="preserve"> </v>
      </c>
    </row>
    <row r="51" spans="1:14" ht="15" customHeight="1" outlineLevel="1" x14ac:dyDescent="0.25">
      <c r="A51" s="40"/>
      <c r="B51" t="s">
        <v>234</v>
      </c>
      <c r="F51" s="31"/>
      <c r="G51" s="31"/>
      <c r="H51" s="58">
        <f>ROUND(H48-62,0)</f>
        <v>38</v>
      </c>
      <c r="I51" s="69"/>
      <c r="J51" s="54" t="str">
        <f>IF(I51&lt;&gt;0,H51," ")</f>
        <v xml:space="preserve"> </v>
      </c>
      <c r="K51" s="54" t="str">
        <f>IF(J51&lt;&gt;" ",J51*C$12," ")</f>
        <v xml:space="preserve"> </v>
      </c>
    </row>
    <row r="52" spans="1:14" ht="15" customHeight="1" outlineLevel="1" x14ac:dyDescent="0.25">
      <c r="A52" s="40"/>
      <c r="B52" t="s">
        <v>72</v>
      </c>
      <c r="F52" s="31"/>
      <c r="G52" s="100"/>
      <c r="H52" s="61">
        <f>[1]Morea!H57</f>
        <v>186</v>
      </c>
      <c r="I52" s="69"/>
      <c r="J52" s="54" t="str">
        <f>IF(I52&lt;&gt;0,H52," ")</f>
        <v xml:space="preserve"> </v>
      </c>
      <c r="K52" s="54" t="str">
        <f>IF(J52&lt;&gt;" ",J52*C$12," ")</f>
        <v xml:space="preserve"> </v>
      </c>
    </row>
    <row r="53" spans="1:14" ht="15" customHeight="1" outlineLevel="1" x14ac:dyDescent="0.25">
      <c r="A53" s="40"/>
      <c r="B53" t="s">
        <v>73</v>
      </c>
      <c r="F53" s="31"/>
      <c r="G53" s="31"/>
      <c r="H53" s="61">
        <f>[1]Morea!H58</f>
        <v>177</v>
      </c>
      <c r="I53" s="69"/>
      <c r="J53" s="54" t="str">
        <f t="shared" ref="J53:J54" si="6">IF(I53&lt;&gt;0,H53," ")</f>
        <v xml:space="preserve"> </v>
      </c>
      <c r="K53" s="54" t="str">
        <f t="shared" ref="K53:K54" si="7">IF(J53&lt;&gt;" ",J53*C$12," ")</f>
        <v xml:space="preserve"> </v>
      </c>
    </row>
    <row r="54" spans="1:14" ht="15" customHeight="1" outlineLevel="1" x14ac:dyDescent="0.25">
      <c r="A54" s="40"/>
      <c r="B54" t="s">
        <v>74</v>
      </c>
      <c r="F54" s="31"/>
      <c r="G54" s="31"/>
      <c r="H54" s="61">
        <f>[1]Morea!H59</f>
        <v>-66</v>
      </c>
      <c r="I54" s="69"/>
      <c r="J54" s="54" t="str">
        <f t="shared" si="6"/>
        <v xml:space="preserve"> </v>
      </c>
      <c r="K54" s="54" t="str">
        <f t="shared" si="7"/>
        <v xml:space="preserve"> </v>
      </c>
    </row>
    <row r="55" spans="1:14" ht="15" customHeight="1" outlineLevel="1" x14ac:dyDescent="0.25">
      <c r="A55" s="47" t="s">
        <v>75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10"/>
    </row>
    <row r="56" spans="1:14" ht="15" customHeight="1" outlineLevel="1" x14ac:dyDescent="0.25">
      <c r="A56" s="40"/>
      <c r="B56" t="s">
        <v>76</v>
      </c>
      <c r="F56" s="31"/>
      <c r="G56" s="100"/>
      <c r="H56" s="91">
        <f>[1]Morea!H61</f>
        <v>345</v>
      </c>
      <c r="I56" s="69"/>
      <c r="J56" s="53" t="str">
        <f t="shared" ref="J56:J58" si="8">IF(I56&lt;&gt;0,H56," ")</f>
        <v xml:space="preserve"> </v>
      </c>
      <c r="K56" s="54" t="str">
        <f t="shared" ref="K56" si="9">IF(J56&lt;&gt;" ",J56*C$12," ")</f>
        <v xml:space="preserve"> </v>
      </c>
      <c r="L56" s="105"/>
    </row>
    <row r="57" spans="1:14" ht="15" customHeight="1" outlineLevel="1" x14ac:dyDescent="0.25">
      <c r="A57" s="40"/>
      <c r="B57" t="s">
        <v>77</v>
      </c>
      <c r="F57" s="31"/>
      <c r="G57" s="100"/>
      <c r="H57" s="61" t="s">
        <v>19</v>
      </c>
      <c r="I57" s="69" t="s">
        <v>31</v>
      </c>
      <c r="J57" s="53" t="str">
        <f t="shared" si="8"/>
        <v>Inclus</v>
      </c>
      <c r="K57" s="54"/>
      <c r="L57" s="105"/>
    </row>
    <row r="58" spans="1:14" ht="15" customHeight="1" outlineLevel="1" x14ac:dyDescent="0.25">
      <c r="A58" s="40"/>
      <c r="B58" s="82" t="s">
        <v>79</v>
      </c>
      <c r="C58" s="331"/>
      <c r="D58" s="332"/>
      <c r="E58" s="332"/>
      <c r="F58" s="143" t="s">
        <v>235</v>
      </c>
      <c r="G58" s="333"/>
      <c r="H58" s="61" t="str">
        <f>(IF(G58='[1]base options off'!C107,'[1]base options off'!D107,IF(G58='[1]base options off'!C108,'[1]base options off'!D108," ")))</f>
        <v xml:space="preserve"> </v>
      </c>
      <c r="I58" s="74"/>
      <c r="J58" s="53" t="str">
        <f t="shared" si="8"/>
        <v xml:space="preserve"> </v>
      </c>
      <c r="K58" s="54" t="str">
        <f t="shared" ref="K58" si="10">IF(J58&lt;&gt;" ",J58*C$12," ")</f>
        <v xml:space="preserve"> </v>
      </c>
      <c r="L58" s="105"/>
    </row>
    <row r="59" spans="1:14" outlineLevel="1" x14ac:dyDescent="0.25">
      <c r="A59" s="40"/>
      <c r="B59" t="s">
        <v>80</v>
      </c>
      <c r="F59" s="31"/>
      <c r="G59" s="107"/>
      <c r="H59" s="61">
        <f>[1]Morea!H65</f>
        <v>102</v>
      </c>
      <c r="I59" s="74"/>
      <c r="J59" s="54" t="str">
        <f>IF(I59&lt;&gt;0,H59," ")</f>
        <v xml:space="preserve"> </v>
      </c>
      <c r="K59" s="334" t="str">
        <f>IF(J59&lt;&gt;" ",J59*C$12," ")</f>
        <v xml:space="preserve"> </v>
      </c>
    </row>
    <row r="60" spans="1:14" ht="15" customHeight="1" outlineLevel="1" x14ac:dyDescent="0.25">
      <c r="A60" s="40"/>
      <c r="B60" t="s">
        <v>236</v>
      </c>
      <c r="F60" s="31"/>
      <c r="G60" s="31"/>
      <c r="H60" s="61">
        <f>[1]Morea!H66</f>
        <v>349</v>
      </c>
      <c r="I60" s="69"/>
      <c r="J60" s="53" t="str">
        <f>IF(I60&lt;&gt;0,H60," ")</f>
        <v xml:space="preserve"> </v>
      </c>
      <c r="K60" s="54" t="str">
        <f>IF(J60&lt;&gt;" ",J60*C$12," ")</f>
        <v xml:space="preserve"> </v>
      </c>
    </row>
    <row r="61" spans="1:14" ht="15" customHeight="1" outlineLevel="1" x14ac:dyDescent="0.25">
      <c r="A61" s="40"/>
      <c r="B61" t="s">
        <v>82</v>
      </c>
      <c r="F61" s="31"/>
      <c r="G61" s="31"/>
      <c r="H61" s="61">
        <f>[1]Morea!H67</f>
        <v>360</v>
      </c>
      <c r="I61" s="69"/>
      <c r="J61" s="53" t="str">
        <f>IF(I61&lt;&gt;0,H61," ")</f>
        <v xml:space="preserve"> </v>
      </c>
      <c r="K61" s="54" t="str">
        <f>IF(J61&lt;&gt;" ",J61*C$12," ")</f>
        <v xml:space="preserve"> </v>
      </c>
    </row>
    <row r="62" spans="1:14" ht="15" customHeight="1" outlineLevel="1" x14ac:dyDescent="0.25">
      <c r="A62" s="40"/>
      <c r="B62" t="s">
        <v>83</v>
      </c>
      <c r="F62" s="31"/>
      <c r="G62" s="74"/>
      <c r="H62" s="61">
        <f>[1]Morea!H68</f>
        <v>80</v>
      </c>
      <c r="I62" s="69"/>
      <c r="J62" s="53" t="str">
        <f t="shared" ref="J62:J63" si="11">IF(I62&lt;&gt;0,H62," ")</f>
        <v xml:space="preserve"> </v>
      </c>
      <c r="K62" s="54" t="str">
        <f t="shared" ref="K62:K63" si="12">IF(J62&lt;&gt;" ",J62*C$12," ")</f>
        <v xml:space="preserve"> </v>
      </c>
      <c r="L62" s="24"/>
      <c r="N62" s="2"/>
    </row>
    <row r="63" spans="1:14" ht="15" customHeight="1" outlineLevel="1" x14ac:dyDescent="0.25">
      <c r="A63" s="40"/>
      <c r="B63" s="335" t="s">
        <v>86</v>
      </c>
      <c r="C63" s="336"/>
      <c r="D63" s="337"/>
      <c r="E63" s="337"/>
      <c r="F63" s="338"/>
      <c r="G63" s="338"/>
      <c r="H63" s="61">
        <f>+[1]Morea!H71</f>
        <v>478</v>
      </c>
      <c r="I63" s="174"/>
      <c r="J63" s="53" t="str">
        <f t="shared" si="11"/>
        <v xml:space="preserve"> </v>
      </c>
      <c r="K63" s="54" t="str">
        <f t="shared" si="12"/>
        <v xml:space="preserve"> </v>
      </c>
      <c r="L63" s="24"/>
      <c r="N63" s="2"/>
    </row>
    <row r="64" spans="1:14" ht="15" customHeight="1" outlineLevel="1" x14ac:dyDescent="0.25">
      <c r="A64" s="47" t="s">
        <v>237</v>
      </c>
      <c r="B64" s="109"/>
      <c r="C64" s="109"/>
      <c r="D64" s="109"/>
      <c r="E64" s="109"/>
      <c r="F64" s="109"/>
      <c r="G64" s="109"/>
      <c r="H64" s="109"/>
      <c r="I64" s="109"/>
      <c r="J64" s="109"/>
      <c r="K64" s="110"/>
      <c r="L64" s="2"/>
      <c r="N64" s="2"/>
    </row>
    <row r="65" spans="1:14" ht="15" customHeight="1" outlineLevel="1" x14ac:dyDescent="0.25">
      <c r="A65" s="40"/>
      <c r="B65" t="s">
        <v>87</v>
      </c>
      <c r="F65" s="31"/>
      <c r="G65" s="31"/>
      <c r="H65" s="61">
        <f>ROUND(+[1]Tarifs!BL5,0)</f>
        <v>95</v>
      </c>
      <c r="I65" s="74"/>
      <c r="J65" s="53" t="str">
        <f t="shared" ref="J65:J69" si="13">IF(I65&lt;&gt;0,H65," ")</f>
        <v xml:space="preserve"> </v>
      </c>
      <c r="K65" s="54" t="str">
        <f t="shared" ref="K65:K68" si="14">IF(J65&lt;&gt;" ",J65*C$12," ")</f>
        <v xml:space="preserve"> </v>
      </c>
      <c r="L65" s="24"/>
      <c r="N65" s="31"/>
    </row>
    <row r="66" spans="1:14" ht="15" customHeight="1" outlineLevel="1" x14ac:dyDescent="0.25">
      <c r="A66" s="40"/>
      <c r="B66" t="s">
        <v>88</v>
      </c>
      <c r="F66" s="31"/>
      <c r="G66" s="31"/>
      <c r="H66" s="61">
        <f>[1]Morea!H74</f>
        <v>562</v>
      </c>
      <c r="I66" s="74"/>
      <c r="J66" s="53" t="str">
        <f t="shared" si="13"/>
        <v xml:space="preserve"> </v>
      </c>
      <c r="K66" s="54" t="str">
        <f t="shared" si="14"/>
        <v xml:space="preserve"> </v>
      </c>
      <c r="L66" s="24"/>
      <c r="N66" s="2"/>
    </row>
    <row r="67" spans="1:14" ht="15" customHeight="1" outlineLevel="1" x14ac:dyDescent="0.25">
      <c r="A67" s="40"/>
      <c r="B67" t="s">
        <v>89</v>
      </c>
      <c r="F67" s="31"/>
      <c r="G67" s="31"/>
      <c r="H67" s="61" t="s">
        <v>90</v>
      </c>
      <c r="I67" s="69"/>
      <c r="J67" s="53" t="str">
        <f t="shared" si="13"/>
        <v xml:space="preserve"> </v>
      </c>
      <c r="K67" s="54" t="str">
        <f t="shared" si="14"/>
        <v xml:space="preserve"> </v>
      </c>
      <c r="L67" s="24"/>
      <c r="N67" s="2"/>
    </row>
    <row r="68" spans="1:14" ht="15" customHeight="1" outlineLevel="1" x14ac:dyDescent="0.25">
      <c r="A68" s="40"/>
      <c r="B68" t="s">
        <v>91</v>
      </c>
      <c r="F68" s="31"/>
      <c r="G68" s="31"/>
      <c r="H68" s="61">
        <f>ROUND([1]Tarifs!EA5,0)</f>
        <v>-250</v>
      </c>
      <c r="I68" s="69"/>
      <c r="J68" s="53" t="str">
        <f t="shared" si="13"/>
        <v xml:space="preserve"> </v>
      </c>
      <c r="K68" s="54" t="str">
        <f t="shared" si="14"/>
        <v xml:space="preserve"> </v>
      </c>
      <c r="L68" s="24"/>
      <c r="N68" s="2"/>
    </row>
    <row r="69" spans="1:14" ht="15" customHeight="1" outlineLevel="1" x14ac:dyDescent="0.25">
      <c r="A69" s="40"/>
      <c r="B69" t="s">
        <v>96</v>
      </c>
      <c r="F69" s="31"/>
      <c r="G69" s="100"/>
      <c r="H69" s="61">
        <f>ROUND([1]Morea!H80/2,0)</f>
        <v>112</v>
      </c>
      <c r="I69" s="69"/>
      <c r="J69" s="53" t="str">
        <f t="shared" si="13"/>
        <v xml:space="preserve"> </v>
      </c>
      <c r="K69" s="54" t="str">
        <f t="shared" si="3"/>
        <v xml:space="preserve"> </v>
      </c>
      <c r="L69" s="24"/>
    </row>
    <row r="70" spans="1:14" ht="15" customHeight="1" outlineLevel="1" x14ac:dyDescent="0.25">
      <c r="A70" s="40"/>
      <c r="B70" t="s">
        <v>97</v>
      </c>
      <c r="F70" s="31"/>
      <c r="G70" s="100"/>
      <c r="H70" s="61">
        <f>ROUND([1]Morea!H81/2,0)</f>
        <v>93</v>
      </c>
      <c r="I70" s="69"/>
      <c r="J70" s="53" t="str">
        <f>IF(I70&lt;&gt;0,H70," ")</f>
        <v xml:space="preserve"> </v>
      </c>
      <c r="K70" s="54" t="str">
        <f>IF(J70&lt;&gt;" ",J70*C$12," ")</f>
        <v xml:space="preserve"> </v>
      </c>
    </row>
    <row r="71" spans="1:14" outlineLevel="1" x14ac:dyDescent="0.25">
      <c r="A71" s="113" t="s">
        <v>98</v>
      </c>
      <c r="B71" s="114"/>
      <c r="C71" s="114"/>
      <c r="D71" s="114"/>
      <c r="E71" s="114"/>
      <c r="F71" s="114"/>
      <c r="G71" s="114"/>
      <c r="H71" s="115"/>
      <c r="I71" s="116"/>
      <c r="J71" s="116"/>
      <c r="K71" s="117"/>
      <c r="L71" s="40"/>
    </row>
    <row r="72" spans="1:14" outlineLevel="1" x14ac:dyDescent="0.25">
      <c r="A72" s="40"/>
      <c r="B72" t="s">
        <v>99</v>
      </c>
      <c r="D72" s="118" t="s">
        <v>100</v>
      </c>
      <c r="E72" s="119"/>
      <c r="F72" s="120"/>
      <c r="G72" s="121"/>
      <c r="H72" s="61">
        <f>ROUND(IF(E72=[1]v!$B$25,[1]Tarifs!$C$31,[1]Tarifs!$C$27),0)</f>
        <v>402</v>
      </c>
      <c r="I72" s="74"/>
      <c r="J72" s="53" t="str">
        <f t="shared" ref="J72:J77" si="15">IF(I72&lt;&gt;0,H72," ")</f>
        <v xml:space="preserve"> </v>
      </c>
      <c r="K72" s="54" t="str">
        <f>IF(J72&lt;&gt;" ",J72*C$12," ")</f>
        <v xml:space="preserve"> </v>
      </c>
    </row>
    <row r="73" spans="1:14" outlineLevel="1" x14ac:dyDescent="0.25">
      <c r="A73" s="40"/>
      <c r="B73" t="s">
        <v>101</v>
      </c>
      <c r="D73" s="55" t="s">
        <v>100</v>
      </c>
      <c r="E73" s="122"/>
      <c r="F73" s="123"/>
      <c r="G73" s="124"/>
      <c r="H73" s="58">
        <f>[1]Tarifs!BN5</f>
        <v>94</v>
      </c>
      <c r="I73" s="74"/>
      <c r="J73" s="53" t="str">
        <f t="shared" si="15"/>
        <v xml:space="preserve"> </v>
      </c>
      <c r="K73" s="54" t="str">
        <f>IF(J73&lt;&gt;" ",J73*C$12," ")</f>
        <v xml:space="preserve"> </v>
      </c>
    </row>
    <row r="74" spans="1:14" outlineLevel="1" x14ac:dyDescent="0.25">
      <c r="A74" s="40"/>
      <c r="B74" t="s">
        <v>102</v>
      </c>
      <c r="D74" s="55" t="s">
        <v>100</v>
      </c>
      <c r="E74" s="125"/>
      <c r="F74" s="123"/>
      <c r="G74" s="124"/>
      <c r="H74" s="58">
        <f>ROUND([1]Tarifs!BO5,0)</f>
        <v>69</v>
      </c>
      <c r="I74" s="74"/>
      <c r="J74" s="54" t="str">
        <f t="shared" si="15"/>
        <v xml:space="preserve"> </v>
      </c>
      <c r="K74" s="4" t="str">
        <f>IF(J74&lt;&gt;" ",J74*C$12," ")</f>
        <v xml:space="preserve"> </v>
      </c>
      <c r="L74" s="40"/>
    </row>
    <row r="75" spans="1:14" outlineLevel="1" x14ac:dyDescent="0.25">
      <c r="A75" s="40"/>
      <c r="B75" t="s">
        <v>103</v>
      </c>
      <c r="C75" s="126"/>
      <c r="D75" s="127"/>
      <c r="E75" s="128"/>
      <c r="F75" s="129"/>
      <c r="G75" s="130"/>
      <c r="H75" s="61" t="str">
        <f>(IF(E75='[1]base options off'!$E$86,[1]Tarifs!BQ5,IF(E75='[1]base options off'!$E$85,[1]Tarifs!BR5," ")))</f>
        <v xml:space="preserve"> </v>
      </c>
      <c r="I75" s="69"/>
      <c r="J75" s="54" t="str">
        <f t="shared" si="15"/>
        <v xml:space="preserve"> </v>
      </c>
      <c r="K75" s="4" t="str">
        <f t="shared" ref="K75:K77" si="16">IF(J75&lt;&gt;" ",J75*C$12," ")</f>
        <v xml:space="preserve"> </v>
      </c>
      <c r="L75" s="40"/>
    </row>
    <row r="76" spans="1:14" ht="15" customHeight="1" outlineLevel="1" x14ac:dyDescent="0.25">
      <c r="A76" s="40"/>
      <c r="B76" t="s">
        <v>104</v>
      </c>
      <c r="F76" s="31"/>
      <c r="G76" s="100"/>
      <c r="H76" s="61">
        <f>[1]Morea!H87</f>
        <v>274</v>
      </c>
      <c r="I76" s="69"/>
      <c r="J76" s="54" t="str">
        <f t="shared" si="15"/>
        <v xml:space="preserve"> </v>
      </c>
      <c r="K76" s="4" t="str">
        <f t="shared" si="16"/>
        <v xml:space="preserve"> </v>
      </c>
    </row>
    <row r="77" spans="1:14" ht="15.6" customHeight="1" outlineLevel="1" thickBot="1" x14ac:dyDescent="0.3">
      <c r="B77" t="s">
        <v>105</v>
      </c>
      <c r="E77" t="str">
        <f>IF(OR(I77="x",I76="x"),"Déjà des pass Hekipia ?","")</f>
        <v/>
      </c>
      <c r="F77" s="31"/>
      <c r="G77" s="74"/>
      <c r="H77" s="61">
        <f>[1]Morea!H88</f>
        <v>48</v>
      </c>
      <c r="I77" s="69"/>
      <c r="J77" s="54" t="str">
        <f t="shared" si="15"/>
        <v xml:space="preserve"> </v>
      </c>
      <c r="K77" s="4" t="str">
        <f t="shared" si="16"/>
        <v xml:space="preserve"> </v>
      </c>
      <c r="L77" s="2"/>
      <c r="N77" s="2"/>
    </row>
    <row r="78" spans="1:14" ht="15.75" outlineLevel="1" thickTop="1" x14ac:dyDescent="0.25">
      <c r="A78" s="131"/>
      <c r="B78" s="132" t="s">
        <v>238</v>
      </c>
      <c r="C78" s="132"/>
      <c r="D78" s="132"/>
      <c r="E78" s="132"/>
      <c r="F78" s="132"/>
      <c r="G78" s="132"/>
      <c r="H78" s="132"/>
      <c r="I78" s="133"/>
      <c r="J78" s="134" t="str">
        <f>J14</f>
        <v>xx</v>
      </c>
      <c r="K78" s="134" t="e">
        <f>K14</f>
        <v>#VALUE!</v>
      </c>
    </row>
    <row r="79" spans="1:14" outlineLevel="1" x14ac:dyDescent="0.25">
      <c r="A79" s="131"/>
      <c r="B79" s="135" t="s">
        <v>106</v>
      </c>
      <c r="C79" s="135"/>
      <c r="D79" s="135"/>
      <c r="E79" s="135"/>
      <c r="F79" s="135"/>
      <c r="G79" s="135"/>
      <c r="H79" s="135"/>
      <c r="I79" s="136"/>
      <c r="J79" s="137">
        <f>SUM(J15:J77)</f>
        <v>0</v>
      </c>
      <c r="K79" s="137">
        <f>SUM(K15:K77)</f>
        <v>0</v>
      </c>
    </row>
    <row r="80" spans="1:14" outlineLevel="1" x14ac:dyDescent="0.25">
      <c r="A80" s="138" t="s">
        <v>107</v>
      </c>
      <c r="B80" s="139"/>
      <c r="C80" s="139"/>
      <c r="D80" s="139"/>
      <c r="E80" s="139"/>
      <c r="F80" s="139"/>
      <c r="G80" s="139"/>
      <c r="H80" s="139"/>
      <c r="I80" s="140"/>
      <c r="J80" s="141" t="e">
        <f>J78+J79</f>
        <v>#VALUE!</v>
      </c>
      <c r="K80" s="142" t="e">
        <f>K78+K79</f>
        <v>#VALUE!</v>
      </c>
      <c r="L80" s="3"/>
    </row>
    <row r="81" spans="1:14" ht="6" customHeight="1" outlineLevel="1" x14ac:dyDescent="0.25">
      <c r="A81" s="143"/>
      <c r="B81" s="144"/>
      <c r="C81" s="145"/>
      <c r="D81" s="144"/>
      <c r="E81" s="144"/>
      <c r="F81" s="144"/>
      <c r="G81" s="144"/>
      <c r="H81" s="144"/>
      <c r="I81" s="144"/>
      <c r="J81" s="146"/>
      <c r="K81" s="146"/>
    </row>
    <row r="82" spans="1:14" outlineLevel="1" x14ac:dyDescent="0.25">
      <c r="A82" s="147" t="s">
        <v>108</v>
      </c>
      <c r="B82" s="114"/>
      <c r="C82" s="114"/>
      <c r="D82" s="114"/>
      <c r="E82" s="114"/>
      <c r="F82" s="114"/>
      <c r="G82" s="114"/>
      <c r="H82" s="148" t="s">
        <v>109</v>
      </c>
      <c r="I82" s="149"/>
      <c r="J82" s="149" t="s">
        <v>17</v>
      </c>
      <c r="K82" s="149" t="s">
        <v>110</v>
      </c>
    </row>
    <row r="83" spans="1:14" outlineLevel="1" x14ac:dyDescent="0.25">
      <c r="A83" s="150"/>
      <c r="B83" s="24" t="s">
        <v>111</v>
      </c>
      <c r="F83" s="31"/>
      <c r="G83" s="31"/>
      <c r="H83" s="61">
        <f>ROUND(+[1]Tarifs!BX5,0)</f>
        <v>1127</v>
      </c>
      <c r="I83" s="69"/>
      <c r="J83" s="151"/>
      <c r="K83" s="54">
        <f>+J83*H83</f>
        <v>0</v>
      </c>
      <c r="M83" s="3"/>
    </row>
    <row r="84" spans="1:14" outlineLevel="1" x14ac:dyDescent="0.25">
      <c r="A84" s="150"/>
      <c r="B84" s="24" t="s">
        <v>112</v>
      </c>
      <c r="F84" s="31"/>
      <c r="G84" s="31"/>
      <c r="H84" s="61">
        <f>ROUND(+H83,0)</f>
        <v>1127</v>
      </c>
      <c r="I84" s="69"/>
      <c r="J84" s="151"/>
      <c r="K84" s="54">
        <f t="shared" ref="K84:K92" si="17">+J84*H84</f>
        <v>0</v>
      </c>
      <c r="M84" s="3"/>
    </row>
    <row r="85" spans="1:14" outlineLevel="1" x14ac:dyDescent="0.25">
      <c r="A85" s="150"/>
      <c r="B85" s="24" t="s">
        <v>113</v>
      </c>
      <c r="F85" s="31"/>
      <c r="G85" s="31"/>
      <c r="H85" s="61">
        <f>ROUND(+[1]Tarifs!CI5,0)</f>
        <v>3925</v>
      </c>
      <c r="I85" s="69"/>
      <c r="J85" s="151"/>
      <c r="K85" s="54">
        <f t="shared" si="17"/>
        <v>0</v>
      </c>
    </row>
    <row r="86" spans="1:14" ht="15" customHeight="1" outlineLevel="1" x14ac:dyDescent="0.25">
      <c r="A86" s="40"/>
      <c r="B86" s="82" t="s">
        <v>114</v>
      </c>
      <c r="E86" s="118" t="s">
        <v>100</v>
      </c>
      <c r="F86" s="152"/>
      <c r="G86" s="153"/>
      <c r="H86" s="91" cm="1">
        <f t="array" ref="H86">(_xlfn.IFS(F86="Bois et filet",[1]Tarifs!CW5,F86="Lames inclinées",[1]Tarifs!CR5,F86="",[1]Tarifs!CW5))</f>
        <v>867.69230769230762</v>
      </c>
      <c r="I86" s="62"/>
      <c r="J86" s="151"/>
      <c r="K86" s="54">
        <f t="shared" si="17"/>
        <v>0</v>
      </c>
    </row>
    <row r="87" spans="1:14" ht="15" customHeight="1" outlineLevel="1" x14ac:dyDescent="0.25">
      <c r="A87" s="154"/>
      <c r="B87" s="155" t="s">
        <v>115</v>
      </c>
      <c r="C87" s="156"/>
      <c r="D87" s="155"/>
      <c r="E87" s="155"/>
      <c r="F87" s="157"/>
      <c r="G87" s="158"/>
      <c r="H87" s="159">
        <f>ROUND(+[1]Tarifs!DE5,0)</f>
        <v>1186</v>
      </c>
      <c r="I87" s="160"/>
      <c r="J87" s="161"/>
      <c r="K87" s="162">
        <f t="shared" si="17"/>
        <v>0</v>
      </c>
    </row>
    <row r="88" spans="1:14" outlineLevel="1" x14ac:dyDescent="0.25">
      <c r="A88" s="150"/>
      <c r="B88" t="s">
        <v>239</v>
      </c>
      <c r="H88" s="61">
        <f>ROUND(+[1]Tarifs!CD5,0)</f>
        <v>1714</v>
      </c>
      <c r="I88" s="69"/>
      <c r="J88" s="151"/>
      <c r="K88" s="54">
        <f t="shared" si="17"/>
        <v>0</v>
      </c>
    </row>
    <row r="89" spans="1:14" outlineLevel="1" x14ac:dyDescent="0.25">
      <c r="A89" s="150"/>
      <c r="B89" s="24" t="s">
        <v>240</v>
      </c>
      <c r="H89" s="163">
        <f>ROUND(+[1]Tarifs!DH5,0)</f>
        <v>3255</v>
      </c>
      <c r="I89" s="69"/>
      <c r="J89" s="151"/>
      <c r="K89" s="54">
        <f t="shared" si="17"/>
        <v>0</v>
      </c>
    </row>
    <row r="90" spans="1:14" outlineLevel="1" x14ac:dyDescent="0.25">
      <c r="A90" s="150"/>
      <c r="B90" s="24" t="s">
        <v>241</v>
      </c>
      <c r="G90" s="164"/>
      <c r="H90" s="163">
        <f>ROUND(+H89*1.5,0)</f>
        <v>4883</v>
      </c>
      <c r="I90" s="62"/>
      <c r="J90" s="151"/>
      <c r="K90" s="54">
        <f t="shared" si="17"/>
        <v>0</v>
      </c>
    </row>
    <row r="91" spans="1:14" outlineLevel="1" x14ac:dyDescent="0.25">
      <c r="A91" s="165"/>
      <c r="B91" s="156" t="s">
        <v>119</v>
      </c>
      <c r="C91" s="156"/>
      <c r="D91" s="155"/>
      <c r="E91" s="166"/>
      <c r="F91" s="167"/>
      <c r="G91" s="168"/>
      <c r="H91" s="159">
        <f>IF($E$91="Pilotis",IF($I$89&lt;&gt;"",[1]Tarifs!DR5,IF($I$90&lt;&gt;"",[1]Tarifs!DU5,[1]Tarifs!$DO$5)),[1]Tarifs!$DO$5)</f>
        <v>2263.1538461538462</v>
      </c>
      <c r="I91" s="169"/>
      <c r="J91" s="161"/>
      <c r="K91" s="162">
        <f t="shared" si="17"/>
        <v>0</v>
      </c>
    </row>
    <row r="92" spans="1:14" outlineLevel="1" x14ac:dyDescent="0.25">
      <c r="A92" s="150"/>
      <c r="B92" s="24" t="s">
        <v>120</v>
      </c>
      <c r="H92" s="163">
        <f>[1]Morea!H103</f>
        <v>204.61538461538461</v>
      </c>
      <c r="I92" s="69"/>
      <c r="J92" s="151"/>
      <c r="K92" s="54">
        <f t="shared" si="17"/>
        <v>0</v>
      </c>
    </row>
    <row r="93" spans="1:14" outlineLevel="1" x14ac:dyDescent="0.25">
      <c r="A93" s="150"/>
      <c r="B93" s="24" t="s">
        <v>121</v>
      </c>
      <c r="H93" s="163" t="s">
        <v>122</v>
      </c>
      <c r="I93" s="69"/>
      <c r="J93" s="151"/>
      <c r="K93" s="54"/>
    </row>
    <row r="94" spans="1:14" outlineLevel="1" x14ac:dyDescent="0.25">
      <c r="A94" s="150"/>
      <c r="B94" s="171" t="s">
        <v>123</v>
      </c>
      <c r="C94" s="171"/>
      <c r="D94" s="108"/>
      <c r="E94" s="108"/>
      <c r="F94" s="172"/>
      <c r="G94" s="172"/>
      <c r="H94" s="173">
        <f>+[1]Tarifs!CL5</f>
        <v>252</v>
      </c>
      <c r="I94" s="174"/>
      <c r="J94" s="175"/>
      <c r="K94" s="54">
        <f>IF(H94&lt;&gt;"non",+J94*H94," ")</f>
        <v>0</v>
      </c>
    </row>
    <row r="95" spans="1:14" outlineLevel="1" x14ac:dyDescent="0.25">
      <c r="A95" s="113" t="s">
        <v>124</v>
      </c>
      <c r="B95" s="114"/>
      <c r="C95" s="114"/>
      <c r="D95" s="114"/>
      <c r="E95" s="114"/>
      <c r="F95" s="114"/>
      <c r="G95" s="114"/>
      <c r="H95" s="148" t="s">
        <v>109</v>
      </c>
      <c r="I95" s="149"/>
      <c r="J95" s="339" t="s">
        <v>17</v>
      </c>
      <c r="K95" s="149" t="s">
        <v>110</v>
      </c>
    </row>
    <row r="96" spans="1:14" ht="15" customHeight="1" outlineLevel="1" x14ac:dyDescent="0.25">
      <c r="A96" s="40"/>
      <c r="B96" t="s">
        <v>125</v>
      </c>
      <c r="H96" s="179">
        <f>[1]Morea!H107</f>
        <v>20</v>
      </c>
      <c r="I96" s="69"/>
      <c r="J96" s="178"/>
      <c r="K96" s="54">
        <f t="shared" ref="K96" si="18">+J96*H96</f>
        <v>0</v>
      </c>
      <c r="L96" s="2"/>
      <c r="N96" s="2"/>
    </row>
    <row r="97" spans="1:14" ht="15" customHeight="1" outlineLevel="1" x14ac:dyDescent="0.25">
      <c r="A97" s="40"/>
      <c r="B97" t="s">
        <v>126</v>
      </c>
      <c r="H97" s="179" t="str">
        <f>[1]Morea!H108</f>
        <v>Non dispo</v>
      </c>
      <c r="I97" s="69"/>
      <c r="J97" s="178"/>
      <c r="K97" s="54"/>
      <c r="L97" s="2"/>
      <c r="N97" s="2"/>
    </row>
    <row r="98" spans="1:14" ht="15" customHeight="1" outlineLevel="1" x14ac:dyDescent="0.25">
      <c r="A98" s="40"/>
      <c r="B98" t="s">
        <v>127</v>
      </c>
      <c r="H98" s="179" t="str">
        <f>[1]Morea!H109</f>
        <v>Non dispo</v>
      </c>
      <c r="I98" s="69"/>
      <c r="J98" s="178"/>
      <c r="K98" s="54"/>
      <c r="L98" s="2"/>
      <c r="N98" s="2"/>
    </row>
    <row r="99" spans="1:14" outlineLevel="1" x14ac:dyDescent="0.25">
      <c r="A99" s="180" t="s">
        <v>242</v>
      </c>
      <c r="B99" s="181"/>
      <c r="C99" s="181"/>
      <c r="D99" s="181"/>
      <c r="E99" s="181"/>
      <c r="F99" s="181"/>
      <c r="G99" s="181"/>
      <c r="H99" s="182" t="s">
        <v>109</v>
      </c>
      <c r="I99" s="340"/>
      <c r="J99" s="341" t="s">
        <v>17</v>
      </c>
      <c r="K99" s="185" t="s">
        <v>110</v>
      </c>
    </row>
    <row r="100" spans="1:14" outlineLevel="1" x14ac:dyDescent="0.25">
      <c r="A100" s="40"/>
      <c r="B100" s="186"/>
      <c r="C100" s="186"/>
      <c r="D100" s="186"/>
      <c r="E100" s="186"/>
      <c r="F100" s="186"/>
      <c r="G100" s="187"/>
      <c r="H100" s="69"/>
      <c r="I100" s="69"/>
      <c r="J100" s="151"/>
      <c r="K100" s="59">
        <f>+H100*J100</f>
        <v>0</v>
      </c>
    </row>
    <row r="101" spans="1:14" outlineLevel="1" x14ac:dyDescent="0.25">
      <c r="A101" s="40"/>
      <c r="B101" s="186"/>
      <c r="C101" s="186"/>
      <c r="D101" s="186"/>
      <c r="E101" s="186"/>
      <c r="F101" s="186"/>
      <c r="G101" s="187"/>
      <c r="H101" s="74"/>
      <c r="I101" s="69"/>
      <c r="J101" s="151"/>
      <c r="K101" s="59">
        <f>+H101*J101</f>
        <v>0</v>
      </c>
    </row>
    <row r="102" spans="1:14" ht="15.75" outlineLevel="1" thickBot="1" x14ac:dyDescent="0.3">
      <c r="A102" s="40"/>
      <c r="B102" s="188"/>
      <c r="C102" s="188"/>
      <c r="D102" s="188"/>
      <c r="E102" s="188"/>
      <c r="F102" s="188"/>
      <c r="G102" s="189"/>
      <c r="H102" s="74"/>
      <c r="I102" s="190"/>
      <c r="J102" s="191"/>
      <c r="K102" s="192">
        <f>+H102*J102</f>
        <v>0</v>
      </c>
    </row>
    <row r="103" spans="1:14" ht="15.75" outlineLevel="1" thickTop="1" x14ac:dyDescent="0.25">
      <c r="A103" s="193"/>
      <c r="B103" s="194" t="s">
        <v>129</v>
      </c>
      <c r="C103" s="194"/>
      <c r="D103" s="194"/>
      <c r="E103" s="194"/>
      <c r="F103" s="194"/>
      <c r="G103" s="194"/>
      <c r="H103" s="194"/>
      <c r="I103" s="195"/>
      <c r="J103" s="196"/>
      <c r="K103" s="196">
        <f>SUM(K83:K102)</f>
        <v>0</v>
      </c>
    </row>
    <row r="104" spans="1:14" ht="6" customHeight="1" outlineLevel="1" x14ac:dyDescent="0.25">
      <c r="A104" s="197"/>
      <c r="B104" s="198"/>
      <c r="C104" s="199"/>
      <c r="D104" s="198"/>
      <c r="E104" s="198"/>
      <c r="F104" s="198"/>
      <c r="G104" s="198"/>
      <c r="H104" s="198"/>
      <c r="I104" s="198"/>
      <c r="J104" s="200"/>
      <c r="K104" s="201"/>
    </row>
    <row r="105" spans="1:14" ht="15.75" outlineLevel="1" x14ac:dyDescent="0.25">
      <c r="A105" s="202" t="s">
        <v>130</v>
      </c>
      <c r="B105" s="202"/>
      <c r="C105" s="202"/>
      <c r="D105" s="202"/>
      <c r="E105" s="202"/>
      <c r="F105" s="202"/>
      <c r="G105" s="202"/>
      <c r="H105" s="202"/>
      <c r="I105" s="202"/>
      <c r="J105" s="202"/>
      <c r="K105" s="203" t="s">
        <v>232</v>
      </c>
    </row>
    <row r="106" spans="1:14" ht="15.75" outlineLevel="1" x14ac:dyDescent="0.25">
      <c r="A106" s="202" t="s">
        <v>131</v>
      </c>
      <c r="B106" s="202"/>
      <c r="C106" s="202"/>
      <c r="D106" s="202"/>
      <c r="E106" s="202"/>
      <c r="F106" s="202"/>
      <c r="G106" s="202"/>
      <c r="H106" s="202"/>
      <c r="I106" s="202"/>
      <c r="J106" s="202"/>
      <c r="K106" s="203" t="s">
        <v>232</v>
      </c>
    </row>
    <row r="107" spans="1:14" ht="15.6" customHeight="1" outlineLevel="1" x14ac:dyDescent="0.25">
      <c r="A107" s="204"/>
      <c r="B107" s="205"/>
      <c r="C107" s="206"/>
      <c r="D107" s="205"/>
      <c r="E107" s="205"/>
      <c r="F107" s="207"/>
      <c r="G107" s="207"/>
      <c r="H107" s="207"/>
      <c r="I107" s="207"/>
      <c r="J107" s="208"/>
      <c r="K107" s="208"/>
    </row>
    <row r="108" spans="1:14" ht="15" customHeight="1" outlineLevel="1" x14ac:dyDescent="0.25">
      <c r="A108" s="65"/>
      <c r="B108" s="209" t="s">
        <v>132</v>
      </c>
      <c r="C108" s="210"/>
      <c r="D108" s="211"/>
      <c r="E108" s="212" t="s">
        <v>133</v>
      </c>
      <c r="F108" s="213"/>
      <c r="G108" s="214"/>
      <c r="H108" s="215" t="s">
        <v>134</v>
      </c>
      <c r="I108" s="216"/>
      <c r="J108" s="217"/>
      <c r="K108" s="218"/>
    </row>
    <row r="109" spans="1:14" ht="15" customHeight="1" outlineLevel="1" x14ac:dyDescent="0.25">
      <c r="A109" s="64"/>
      <c r="B109" s="219" t="s">
        <v>135</v>
      </c>
      <c r="C109" s="220"/>
      <c r="D109" s="221"/>
      <c r="E109" s="222"/>
      <c r="F109" s="223"/>
      <c r="G109" s="49"/>
      <c r="H109" s="224"/>
      <c r="I109" s="225"/>
      <c r="J109" s="226"/>
      <c r="K109" s="218"/>
    </row>
    <row r="110" spans="1:14" ht="15" customHeight="1" outlineLevel="1" x14ac:dyDescent="0.25">
      <c r="A110" s="227"/>
      <c r="B110" s="228"/>
      <c r="C110" s="229"/>
      <c r="D110" s="230"/>
      <c r="E110" s="231"/>
      <c r="F110" s="232"/>
      <c r="G110" s="49"/>
      <c r="H110" s="233"/>
      <c r="I110" s="234"/>
      <c r="J110" s="235"/>
      <c r="K110" s="218"/>
    </row>
    <row r="111" spans="1:14" ht="15" customHeight="1" outlineLevel="1" x14ac:dyDescent="0.25">
      <c r="A111" s="227"/>
      <c r="B111" s="228"/>
      <c r="C111" s="229"/>
      <c r="D111" s="230"/>
      <c r="E111" s="231"/>
      <c r="F111" s="232"/>
      <c r="G111" s="49"/>
      <c r="H111" s="233"/>
      <c r="I111" s="234"/>
      <c r="J111" s="235"/>
      <c r="K111" s="218"/>
    </row>
    <row r="112" spans="1:14" ht="17.25" customHeight="1" outlineLevel="1" x14ac:dyDescent="0.25">
      <c r="A112" s="49"/>
      <c r="B112" s="236"/>
      <c r="C112" s="237"/>
      <c r="D112" s="238"/>
      <c r="E112" s="239"/>
      <c r="F112" s="240"/>
      <c r="G112" s="49"/>
      <c r="H112" s="241"/>
      <c r="I112" s="242"/>
      <c r="J112" s="243"/>
      <c r="K112" s="49"/>
    </row>
    <row r="113" spans="1:11" ht="17.25" customHeight="1" outlineLevel="1" x14ac:dyDescent="0.25">
      <c r="A113" s="49"/>
      <c r="B113" s="227"/>
      <c r="C113" s="227"/>
      <c r="D113" s="227"/>
      <c r="E113" s="49"/>
      <c r="F113" s="49"/>
      <c r="G113" s="49"/>
      <c r="H113" s="244"/>
      <c r="I113" s="244"/>
      <c r="J113" s="244"/>
      <c r="K113" s="49"/>
    </row>
    <row r="114" spans="1:11" ht="17.25" customHeight="1" outlineLevel="1" x14ac:dyDescent="0.25">
      <c r="A114" s="49"/>
      <c r="B114" s="227"/>
      <c r="C114" s="227"/>
      <c r="D114" s="227"/>
      <c r="E114" s="49"/>
      <c r="F114" s="49"/>
      <c r="G114" s="49"/>
      <c r="H114" s="244"/>
      <c r="I114" s="244"/>
      <c r="J114" s="244"/>
      <c r="K114" s="49"/>
    </row>
    <row r="115" spans="1:11" ht="17.25" customHeight="1" outlineLevel="1" x14ac:dyDescent="0.25">
      <c r="A115" s="49"/>
      <c r="B115" s="227"/>
      <c r="C115" s="227"/>
      <c r="D115" s="227"/>
      <c r="E115" s="49"/>
      <c r="F115" s="49"/>
      <c r="G115" s="49"/>
      <c r="H115" s="244"/>
      <c r="I115" s="244"/>
      <c r="J115" s="244"/>
      <c r="K115" s="49"/>
    </row>
    <row r="120" spans="1:11" ht="18.75" x14ac:dyDescent="0.3">
      <c r="B120" s="245" t="s">
        <v>136</v>
      </c>
      <c r="C120" s="245"/>
      <c r="D120" s="245"/>
      <c r="E120" s="245"/>
      <c r="F120" s="245"/>
      <c r="G120" s="245"/>
      <c r="H120" s="245"/>
      <c r="I120" s="245"/>
      <c r="J120" s="245"/>
      <c r="K120" s="245"/>
    </row>
    <row r="122" spans="1:11" x14ac:dyDescent="0.25">
      <c r="B122" s="246" t="s">
        <v>137</v>
      </c>
      <c r="C122" s="247" t="s">
        <v>138</v>
      </c>
      <c r="D122" s="247"/>
      <c r="E122" s="248" t="s">
        <v>243</v>
      </c>
      <c r="F122"/>
      <c r="G122" s="249" t="s">
        <v>140</v>
      </c>
      <c r="H122" s="250"/>
      <c r="I122" s="37">
        <v>1</v>
      </c>
      <c r="J122" s="319"/>
    </row>
    <row r="123" spans="1:11" x14ac:dyDescent="0.25">
      <c r="B123" s="253"/>
      <c r="C123" s="254" t="s">
        <v>141</v>
      </c>
      <c r="D123" s="254"/>
      <c r="E123" s="255" t="s">
        <v>142</v>
      </c>
      <c r="F123"/>
      <c r="G123" s="249" t="s">
        <v>143</v>
      </c>
      <c r="H123" s="250"/>
      <c r="I123" s="251">
        <v>1</v>
      </c>
      <c r="J123" s="252"/>
    </row>
    <row r="124" spans="1:11" x14ac:dyDescent="0.25">
      <c r="B124" s="253"/>
      <c r="C124" s="254" t="s">
        <v>145</v>
      </c>
      <c r="D124" s="254"/>
      <c r="E124" s="255">
        <v>1</v>
      </c>
      <c r="F124"/>
      <c r="G124" s="258" t="str">
        <f>+[1]Morea!G132</f>
        <v>Puissance élec mini hors options</v>
      </c>
      <c r="H124" s="259"/>
      <c r="I124" s="260" t="s">
        <v>147</v>
      </c>
      <c r="J124" s="261"/>
    </row>
    <row r="125" spans="1:11" x14ac:dyDescent="0.25">
      <c r="B125" s="262"/>
      <c r="C125" s="254" t="s">
        <v>148</v>
      </c>
      <c r="D125" s="254"/>
      <c r="E125" s="255" t="s">
        <v>244</v>
      </c>
      <c r="F125"/>
      <c r="G125" s="263" t="s">
        <v>149</v>
      </c>
      <c r="H125" s="264"/>
      <c r="I125" s="256" t="s">
        <v>150</v>
      </c>
      <c r="J125" s="257"/>
    </row>
    <row r="126" spans="1:11" ht="6.6" customHeight="1" x14ac:dyDescent="0.25"/>
    <row r="127" spans="1:11" ht="13.9" customHeight="1" x14ac:dyDescent="0.25"/>
    <row r="128" spans="1:11" x14ac:dyDescent="0.25">
      <c r="B128" s="265" t="s">
        <v>151</v>
      </c>
      <c r="C128" s="266" t="s">
        <v>21</v>
      </c>
      <c r="D128" s="266"/>
      <c r="E128" s="254" t="s">
        <v>245</v>
      </c>
      <c r="F128" s="254"/>
      <c r="G128" s="254"/>
      <c r="H128" s="254"/>
      <c r="I128" s="267"/>
      <c r="J128" s="268"/>
    </row>
    <row r="129" spans="1:14" x14ac:dyDescent="0.25">
      <c r="B129" s="269"/>
      <c r="C129" s="270"/>
      <c r="D129" s="270"/>
      <c r="E129" s="271" t="s">
        <v>153</v>
      </c>
      <c r="F129" s="271"/>
      <c r="G129" s="271"/>
      <c r="H129" s="271"/>
      <c r="J129" s="268"/>
    </row>
    <row r="130" spans="1:14" x14ac:dyDescent="0.25">
      <c r="B130" s="269"/>
      <c r="C130" s="270"/>
      <c r="D130" s="270"/>
      <c r="E130" s="272" t="s">
        <v>246</v>
      </c>
      <c r="F130" s="272"/>
      <c r="G130" s="272"/>
      <c r="H130" s="272"/>
      <c r="I130" s="267"/>
      <c r="J130" s="268"/>
    </row>
    <row r="131" spans="1:14" x14ac:dyDescent="0.25">
      <c r="B131" s="269"/>
      <c r="C131" s="266" t="s">
        <v>155</v>
      </c>
      <c r="D131" s="266"/>
      <c r="E131" s="272" t="s">
        <v>156</v>
      </c>
      <c r="F131" s="272"/>
      <c r="G131" s="272"/>
      <c r="H131" s="272"/>
      <c r="I131" s="267"/>
      <c r="J131" s="268"/>
    </row>
    <row r="132" spans="1:14" x14ac:dyDescent="0.25">
      <c r="B132" s="269"/>
      <c r="C132" s="270"/>
      <c r="D132" s="270"/>
      <c r="E132" s="272" t="s">
        <v>247</v>
      </c>
      <c r="F132" s="272"/>
      <c r="G132" s="272"/>
      <c r="H132" s="272"/>
      <c r="J132" s="268"/>
    </row>
    <row r="133" spans="1:14" x14ac:dyDescent="0.25">
      <c r="B133" s="269"/>
      <c r="C133" s="273"/>
      <c r="D133" s="273"/>
      <c r="E133" s="272" t="s">
        <v>248</v>
      </c>
      <c r="F133" s="272"/>
      <c r="G133" s="272"/>
      <c r="H133" s="272"/>
      <c r="I133" s="267"/>
      <c r="J133" s="268"/>
    </row>
    <row r="134" spans="1:14" x14ac:dyDescent="0.25">
      <c r="B134" s="269"/>
      <c r="C134" s="274" t="s">
        <v>159</v>
      </c>
      <c r="D134" s="274"/>
      <c r="E134" s="254" t="s">
        <v>160</v>
      </c>
      <c r="F134" s="254"/>
      <c r="G134" s="254"/>
      <c r="H134" s="275"/>
      <c r="J134" s="268"/>
    </row>
    <row r="135" spans="1:14" s="4" customFormat="1" x14ac:dyDescent="0.25">
      <c r="A135"/>
      <c r="B135" s="269"/>
      <c r="C135" s="274" t="s">
        <v>161</v>
      </c>
      <c r="D135" s="274"/>
      <c r="E135" s="272" t="s">
        <v>162</v>
      </c>
      <c r="F135" s="272"/>
      <c r="G135" s="272"/>
      <c r="H135" s="272"/>
      <c r="I135" s="267"/>
      <c r="J135" s="268"/>
      <c r="L135"/>
      <c r="M135"/>
      <c r="N135"/>
    </row>
    <row r="136" spans="1:14" s="4" customFormat="1" x14ac:dyDescent="0.25">
      <c r="A136"/>
      <c r="B136" s="269"/>
      <c r="C136" s="266" t="s">
        <v>163</v>
      </c>
      <c r="D136" s="266"/>
      <c r="E136" s="272" t="s">
        <v>164</v>
      </c>
      <c r="F136" s="272"/>
      <c r="G136" s="272"/>
      <c r="H136" s="272"/>
      <c r="I136" s="31"/>
      <c r="J136" s="268"/>
      <c r="L136"/>
      <c r="M136"/>
      <c r="N136"/>
    </row>
    <row r="137" spans="1:14" s="4" customFormat="1" x14ac:dyDescent="0.25">
      <c r="A137"/>
      <c r="B137" s="276"/>
      <c r="C137" s="273"/>
      <c r="D137" s="273"/>
      <c r="E137" s="272" t="s">
        <v>165</v>
      </c>
      <c r="F137" s="272"/>
      <c r="G137" s="272"/>
      <c r="H137" s="272"/>
      <c r="I137" s="267"/>
      <c r="J137" s="268"/>
      <c r="L137"/>
      <c r="M137"/>
      <c r="N137"/>
    </row>
    <row r="138" spans="1:14" s="4" customFormat="1" ht="7.15" customHeight="1" x14ac:dyDescent="0.25">
      <c r="A138"/>
      <c r="B138" s="277"/>
      <c r="C138" s="24"/>
      <c r="D138"/>
      <c r="E138"/>
      <c r="F138" s="2"/>
      <c r="G138" s="2"/>
      <c r="H138" s="31"/>
      <c r="I138" s="31"/>
      <c r="J138" s="268"/>
      <c r="L138"/>
      <c r="M138"/>
      <c r="N138"/>
    </row>
    <row r="139" spans="1:14" s="4" customFormat="1" ht="16.149999999999999" customHeight="1" x14ac:dyDescent="0.25">
      <c r="A139"/>
      <c r="B139" s="265" t="s">
        <v>166</v>
      </c>
      <c r="C139" s="266" t="s">
        <v>167</v>
      </c>
      <c r="D139" s="266"/>
      <c r="E139" s="254" t="s">
        <v>168</v>
      </c>
      <c r="F139" s="254"/>
      <c r="G139" s="254"/>
      <c r="H139" s="254"/>
      <c r="I139" s="267"/>
      <c r="J139" s="268"/>
      <c r="L139"/>
      <c r="M139"/>
      <c r="N139"/>
    </row>
    <row r="140" spans="1:14" s="4" customFormat="1" x14ac:dyDescent="0.25">
      <c r="A140"/>
      <c r="B140" s="276"/>
      <c r="C140" s="274" t="s">
        <v>169</v>
      </c>
      <c r="D140" s="274"/>
      <c r="E140" s="278" t="s">
        <v>170</v>
      </c>
      <c r="F140" s="278"/>
      <c r="G140" s="279"/>
      <c r="H140" s="280"/>
      <c r="I140" s="267"/>
      <c r="J140" s="268"/>
      <c r="L140"/>
      <c r="M140"/>
      <c r="N140"/>
    </row>
    <row r="141" spans="1:14" s="4" customFormat="1" ht="7.15" customHeight="1" x14ac:dyDescent="0.25">
      <c r="A141"/>
      <c r="B141" s="281"/>
      <c r="C141" s="282"/>
      <c r="D141"/>
      <c r="E141"/>
      <c r="F141" s="2"/>
      <c r="G141" s="2"/>
      <c r="H141" s="31"/>
      <c r="I141" s="31"/>
      <c r="L141"/>
      <c r="M141"/>
      <c r="N141"/>
    </row>
    <row r="142" spans="1:14" s="4" customFormat="1" ht="12.6" customHeight="1" x14ac:dyDescent="0.25">
      <c r="A142"/>
      <c r="B142" s="265" t="s">
        <v>171</v>
      </c>
      <c r="C142" s="251" t="s">
        <v>172</v>
      </c>
      <c r="D142" s="274"/>
      <c r="E142" s="272" t="s">
        <v>173</v>
      </c>
      <c r="F142" s="272"/>
      <c r="G142" s="272"/>
      <c r="H142" s="272"/>
      <c r="I142" s="267"/>
      <c r="J142" s="268"/>
      <c r="L142"/>
      <c r="M142"/>
      <c r="N142"/>
    </row>
    <row r="143" spans="1:14" s="4" customFormat="1" x14ac:dyDescent="0.25">
      <c r="A143"/>
      <c r="B143" s="269"/>
      <c r="C143" s="274" t="s">
        <v>174</v>
      </c>
      <c r="D143" s="274"/>
      <c r="E143" s="272" t="s">
        <v>249</v>
      </c>
      <c r="F143" s="272"/>
      <c r="G143" s="272"/>
      <c r="H143" s="272"/>
      <c r="I143" s="267"/>
      <c r="J143" s="268"/>
      <c r="L143"/>
      <c r="M143"/>
      <c r="N143"/>
    </row>
    <row r="144" spans="1:14" s="4" customFormat="1" x14ac:dyDescent="0.25">
      <c r="A144"/>
      <c r="B144" s="269"/>
      <c r="C144" s="251" t="s">
        <v>176</v>
      </c>
      <c r="D144" s="274"/>
      <c r="E144" s="272" t="s">
        <v>177</v>
      </c>
      <c r="F144" s="272"/>
      <c r="G144" s="272"/>
      <c r="H144" s="272"/>
      <c r="I144" s="267"/>
      <c r="J144" s="268"/>
      <c r="L144"/>
      <c r="M144"/>
      <c r="N144"/>
    </row>
    <row r="145" spans="1:14" s="4" customFormat="1" x14ac:dyDescent="0.25">
      <c r="A145"/>
      <c r="B145" s="269"/>
      <c r="C145" s="283" t="s">
        <v>178</v>
      </c>
      <c r="D145" s="283"/>
      <c r="E145" s="284" t="s">
        <v>179</v>
      </c>
      <c r="F145" s="285"/>
      <c r="G145" s="285"/>
      <c r="H145" s="25"/>
      <c r="I145" s="31"/>
      <c r="L145"/>
      <c r="M145"/>
      <c r="N145"/>
    </row>
    <row r="146" spans="1:14" s="4" customFormat="1" x14ac:dyDescent="0.25">
      <c r="A146"/>
      <c r="B146" s="276"/>
      <c r="C146" s="286"/>
      <c r="D146" s="286"/>
      <c r="E146" s="278" t="s">
        <v>180</v>
      </c>
      <c r="F146" s="278"/>
      <c r="G146" s="278"/>
      <c r="H146" s="287"/>
      <c r="I146" s="267"/>
      <c r="J146" s="268"/>
      <c r="L146"/>
      <c r="M146"/>
      <c r="N146"/>
    </row>
    <row r="147" spans="1:14" s="4" customFormat="1" ht="6.6" customHeight="1" x14ac:dyDescent="0.25">
      <c r="A147"/>
      <c r="B147"/>
      <c r="C147" s="24"/>
      <c r="D147"/>
      <c r="E147"/>
      <c r="F147" s="2"/>
      <c r="G147" s="2"/>
      <c r="H147" s="31"/>
      <c r="I147" s="31"/>
      <c r="J147" s="288"/>
      <c r="L147"/>
      <c r="M147"/>
      <c r="N147"/>
    </row>
    <row r="148" spans="1:14" s="4" customFormat="1" ht="14.45" customHeight="1" x14ac:dyDescent="0.25">
      <c r="A148"/>
      <c r="B148" s="289" t="s">
        <v>181</v>
      </c>
      <c r="C148" s="290" t="s">
        <v>182</v>
      </c>
      <c r="D148" s="290"/>
      <c r="E148" s="278" t="s">
        <v>183</v>
      </c>
      <c r="F148" s="291"/>
      <c r="G148" s="291"/>
      <c r="H148" s="267"/>
      <c r="I148" s="267"/>
      <c r="J148" s="268"/>
      <c r="L148"/>
      <c r="M148"/>
      <c r="N148"/>
    </row>
    <row r="149" spans="1:14" s="4" customFormat="1" x14ac:dyDescent="0.25">
      <c r="A149"/>
      <c r="B149" s="292"/>
      <c r="C149" s="283"/>
      <c r="D149" s="283"/>
      <c r="E149" s="278" t="s">
        <v>184</v>
      </c>
      <c r="F149" s="291"/>
      <c r="G149" s="291"/>
      <c r="H149" s="267"/>
      <c r="I149" s="267"/>
      <c r="J149" s="268"/>
      <c r="L149"/>
      <c r="M149"/>
      <c r="N149"/>
    </row>
    <row r="150" spans="1:14" s="4" customFormat="1" x14ac:dyDescent="0.25">
      <c r="A150"/>
      <c r="B150" s="292"/>
      <c r="C150" s="286"/>
      <c r="D150" s="286"/>
      <c r="E150" s="285" t="s">
        <v>185</v>
      </c>
      <c r="F150" s="2"/>
      <c r="G150" s="2"/>
      <c r="H150" s="31"/>
      <c r="I150" s="267"/>
      <c r="J150" s="268"/>
      <c r="L150"/>
      <c r="M150"/>
      <c r="N150"/>
    </row>
    <row r="151" spans="1:14" s="4" customFormat="1" x14ac:dyDescent="0.25">
      <c r="A151"/>
      <c r="B151" s="292"/>
      <c r="C151" s="290" t="s">
        <v>186</v>
      </c>
      <c r="D151" s="290"/>
      <c r="E151" s="278" t="s">
        <v>250</v>
      </c>
      <c r="F151" s="291"/>
      <c r="G151" s="291"/>
      <c r="H151" s="267"/>
      <c r="I151" s="267"/>
      <c r="J151" s="268"/>
      <c r="L151"/>
      <c r="M151"/>
      <c r="N151"/>
    </row>
    <row r="152" spans="1:14" s="4" customFormat="1" x14ac:dyDescent="0.25">
      <c r="A152"/>
      <c r="B152" s="292"/>
      <c r="C152" s="266" t="s">
        <v>189</v>
      </c>
      <c r="D152" s="266"/>
      <c r="E152" s="285" t="s">
        <v>190</v>
      </c>
      <c r="F152"/>
      <c r="G152"/>
      <c r="H152" s="31"/>
      <c r="I152" s="293"/>
      <c r="J152" s="268"/>
      <c r="L152"/>
      <c r="M152"/>
      <c r="N152"/>
    </row>
    <row r="153" spans="1:14" s="4" customFormat="1" x14ac:dyDescent="0.25">
      <c r="A153"/>
      <c r="B153" s="292"/>
      <c r="C153" s="273"/>
      <c r="D153" s="273"/>
      <c r="E153" s="278" t="s">
        <v>191</v>
      </c>
      <c r="F153" s="294"/>
      <c r="G153" s="294"/>
      <c r="H153" s="267"/>
      <c r="I153" s="267"/>
      <c r="J153" s="268"/>
      <c r="L153"/>
      <c r="M153"/>
      <c r="N153"/>
    </row>
    <row r="154" spans="1:14" s="4" customFormat="1" x14ac:dyDescent="0.25">
      <c r="A154"/>
      <c r="B154" s="292"/>
      <c r="C154" s="295" t="s">
        <v>192</v>
      </c>
      <c r="D154" s="295"/>
      <c r="E154" s="285" t="s">
        <v>193</v>
      </c>
      <c r="F154"/>
      <c r="G154"/>
      <c r="H154" s="31"/>
      <c r="I154" s="267"/>
      <c r="J154" s="268"/>
      <c r="L154"/>
      <c r="M154"/>
      <c r="N154"/>
    </row>
    <row r="155" spans="1:14" s="4" customFormat="1" x14ac:dyDescent="0.25">
      <c r="A155"/>
      <c r="B155" s="292"/>
      <c r="C155" s="296"/>
      <c r="D155" s="296"/>
      <c r="E155" s="278" t="s">
        <v>251</v>
      </c>
      <c r="F155" s="294"/>
      <c r="G155" s="294"/>
      <c r="H155" s="267"/>
      <c r="I155" s="267"/>
      <c r="J155" s="268"/>
      <c r="L155"/>
      <c r="M155"/>
      <c r="N155"/>
    </row>
    <row r="156" spans="1:14" s="4" customFormat="1" x14ac:dyDescent="0.25">
      <c r="A156"/>
      <c r="B156" s="292"/>
      <c r="C156" s="296"/>
      <c r="D156" s="296"/>
      <c r="E156" s="278" t="s">
        <v>195</v>
      </c>
      <c r="F156" s="294"/>
      <c r="G156" s="294"/>
      <c r="H156" s="267"/>
      <c r="I156" s="267"/>
      <c r="J156" s="268"/>
      <c r="L156"/>
      <c r="M156"/>
      <c r="N156"/>
    </row>
    <row r="157" spans="1:14" s="4" customFormat="1" x14ac:dyDescent="0.25">
      <c r="A157"/>
      <c r="B157" s="292"/>
      <c r="C157" s="296"/>
      <c r="D157" s="296"/>
      <c r="E157" s="285" t="s">
        <v>197</v>
      </c>
      <c r="F157"/>
      <c r="G157"/>
      <c r="H157" s="31"/>
      <c r="I157" s="293"/>
      <c r="J157" s="342"/>
      <c r="L157"/>
      <c r="M157"/>
      <c r="N157"/>
    </row>
    <row r="158" spans="1:14" s="4" customFormat="1" x14ac:dyDescent="0.25">
      <c r="A158"/>
      <c r="B158" s="292"/>
      <c r="C158" s="297"/>
      <c r="D158" s="297"/>
      <c r="E158" s="254" t="s">
        <v>198</v>
      </c>
      <c r="F158" s="294"/>
      <c r="G158" s="254" t="s">
        <v>252</v>
      </c>
      <c r="H158" s="254" t="s">
        <v>200</v>
      </c>
      <c r="I158" s="254" t="s">
        <v>201</v>
      </c>
      <c r="J158" s="254"/>
      <c r="L158"/>
      <c r="M158"/>
      <c r="N158"/>
    </row>
    <row r="159" spans="1:14" s="4" customFormat="1" x14ac:dyDescent="0.25">
      <c r="A159"/>
      <c r="B159" s="292"/>
      <c r="C159" s="297"/>
      <c r="D159" s="297"/>
      <c r="E159" s="278" t="s">
        <v>202</v>
      </c>
      <c r="F159" s="294"/>
      <c r="G159" s="294"/>
      <c r="H159" s="267"/>
      <c r="I159" s="267"/>
      <c r="J159" s="268"/>
      <c r="L159"/>
      <c r="M159"/>
      <c r="N159"/>
    </row>
    <row r="160" spans="1:14" s="4" customFormat="1" x14ac:dyDescent="0.25">
      <c r="A160"/>
      <c r="B160" s="292"/>
      <c r="C160" s="297"/>
      <c r="D160" s="297"/>
      <c r="E160" s="278" t="s">
        <v>203</v>
      </c>
      <c r="F160" s="294"/>
      <c r="G160" s="294"/>
      <c r="H160" s="267"/>
      <c r="I160" s="267"/>
      <c r="J160" s="268"/>
      <c r="L160"/>
      <c r="M160"/>
      <c r="N160"/>
    </row>
    <row r="161" spans="1:14" s="4" customFormat="1" x14ac:dyDescent="0.25">
      <c r="A161"/>
      <c r="B161" s="292"/>
      <c r="C161" s="298" t="s">
        <v>204</v>
      </c>
      <c r="D161" s="298"/>
      <c r="E161" s="285" t="s">
        <v>253</v>
      </c>
      <c r="F161"/>
      <c r="G161"/>
      <c r="H161" s="31"/>
      <c r="I161" s="267"/>
      <c r="J161" s="268"/>
      <c r="L161"/>
      <c r="M161"/>
      <c r="N161"/>
    </row>
    <row r="162" spans="1:14" s="4" customFormat="1" x14ac:dyDescent="0.25">
      <c r="A162"/>
      <c r="B162" s="292"/>
      <c r="C162" s="299"/>
      <c r="D162" s="299"/>
      <c r="E162" s="278" t="s">
        <v>206</v>
      </c>
      <c r="F162" s="294"/>
      <c r="G162" s="294"/>
      <c r="H162" s="267"/>
      <c r="I162" s="267"/>
      <c r="J162" s="268"/>
      <c r="L162"/>
      <c r="M162"/>
      <c r="N162"/>
    </row>
    <row r="163" spans="1:14" s="4" customFormat="1" x14ac:dyDescent="0.25">
      <c r="A163"/>
      <c r="B163" s="292"/>
      <c r="C163" s="299"/>
      <c r="D163" s="299"/>
      <c r="E163" s="278" t="s">
        <v>254</v>
      </c>
      <c r="F163" s="294"/>
      <c r="G163" s="294"/>
      <c r="H163" s="267"/>
      <c r="I163" s="267"/>
      <c r="J163" s="268"/>
      <c r="L163"/>
      <c r="M163"/>
      <c r="N163"/>
    </row>
    <row r="164" spans="1:14" s="4" customFormat="1" x14ac:dyDescent="0.25">
      <c r="A164"/>
      <c r="B164" s="292"/>
      <c r="C164" s="299"/>
      <c r="D164" s="299"/>
      <c r="E164" s="285" t="s">
        <v>255</v>
      </c>
      <c r="F164"/>
      <c r="G164"/>
      <c r="H164" s="31"/>
      <c r="I164" s="293"/>
      <c r="J164" s="342"/>
      <c r="L164"/>
      <c r="M164"/>
      <c r="N164"/>
    </row>
    <row r="165" spans="1:14" s="4" customFormat="1" x14ac:dyDescent="0.25">
      <c r="A165"/>
      <c r="B165" s="292"/>
      <c r="C165" s="299"/>
      <c r="D165" s="299"/>
      <c r="E165" s="278" t="s">
        <v>256</v>
      </c>
      <c r="F165" s="294"/>
      <c r="G165" s="294"/>
      <c r="H165" s="267"/>
      <c r="I165" s="267"/>
      <c r="J165" s="268"/>
      <c r="L165"/>
      <c r="M165"/>
      <c r="N165"/>
    </row>
    <row r="166" spans="1:14" ht="14.45" customHeight="1" x14ac:dyDescent="0.25">
      <c r="B166" s="292"/>
      <c r="C166" s="290" t="s">
        <v>209</v>
      </c>
      <c r="D166" s="290"/>
      <c r="E166" s="278" t="s">
        <v>210</v>
      </c>
      <c r="F166" s="291"/>
      <c r="G166" s="291"/>
      <c r="H166" s="267"/>
      <c r="I166" s="267"/>
      <c r="J166" s="268"/>
    </row>
    <row r="167" spans="1:14" x14ac:dyDescent="0.25">
      <c r="B167" s="292"/>
      <c r="C167" s="283"/>
      <c r="D167" s="283"/>
      <c r="E167" s="278" t="s">
        <v>211</v>
      </c>
      <c r="F167" s="291"/>
      <c r="G167" s="291"/>
      <c r="H167" s="267"/>
      <c r="I167" s="267"/>
      <c r="J167" s="268"/>
    </row>
    <row r="168" spans="1:14" x14ac:dyDescent="0.25">
      <c r="B168" s="292"/>
      <c r="C168" s="283"/>
      <c r="D168" s="283"/>
      <c r="E168" s="284" t="s">
        <v>257</v>
      </c>
      <c r="I168" s="267"/>
      <c r="J168" s="268"/>
    </row>
    <row r="169" spans="1:14" x14ac:dyDescent="0.25">
      <c r="B169" s="292"/>
      <c r="C169" s="283"/>
      <c r="D169" s="283"/>
      <c r="E169" s="278" t="s">
        <v>213</v>
      </c>
      <c r="F169" s="291"/>
      <c r="G169" s="291"/>
      <c r="H169" s="267"/>
      <c r="I169" s="267"/>
      <c r="J169" s="268"/>
    </row>
    <row r="170" spans="1:14" x14ac:dyDescent="0.25">
      <c r="B170" s="292"/>
      <c r="C170" s="286"/>
      <c r="D170" s="286"/>
      <c r="E170" s="285" t="s">
        <v>214</v>
      </c>
      <c r="I170" s="267"/>
      <c r="J170" s="268"/>
    </row>
    <row r="171" spans="1:14" x14ac:dyDescent="0.25">
      <c r="B171" s="292"/>
      <c r="C171" s="298" t="s">
        <v>215</v>
      </c>
      <c r="D171" s="298"/>
      <c r="E171" s="278" t="s">
        <v>216</v>
      </c>
      <c r="F171" s="291"/>
      <c r="G171" s="291"/>
      <c r="H171" s="267"/>
      <c r="I171" s="267"/>
      <c r="J171" s="268"/>
    </row>
    <row r="172" spans="1:14" ht="14.45" customHeight="1" x14ac:dyDescent="0.25">
      <c r="B172" s="292"/>
      <c r="C172" s="299"/>
      <c r="D172" s="299"/>
      <c r="E172" s="300" t="s">
        <v>258</v>
      </c>
      <c r="F172" s="300"/>
      <c r="G172" s="300"/>
      <c r="H172" s="300"/>
      <c r="I172" s="300"/>
      <c r="J172" s="300"/>
      <c r="K172" s="301"/>
      <c r="L172" s="301"/>
      <c r="M172" s="301"/>
    </row>
    <row r="173" spans="1:14" x14ac:dyDescent="0.25">
      <c r="B173" s="292"/>
      <c r="C173" s="299"/>
      <c r="D173" s="299"/>
      <c r="E173" s="278" t="s">
        <v>219</v>
      </c>
      <c r="F173" s="291"/>
      <c r="G173" s="291"/>
      <c r="H173" s="267"/>
      <c r="I173" s="267"/>
      <c r="J173" s="268"/>
    </row>
    <row r="174" spans="1:14" x14ac:dyDescent="0.25">
      <c r="B174" s="292"/>
      <c r="C174" s="299"/>
      <c r="D174" s="299"/>
      <c r="E174" s="278" t="s">
        <v>220</v>
      </c>
      <c r="F174" s="291"/>
      <c r="G174" s="291"/>
      <c r="H174" s="267"/>
      <c r="I174" s="267"/>
      <c r="J174" s="268"/>
    </row>
    <row r="175" spans="1:14" x14ac:dyDescent="0.25">
      <c r="B175" s="292"/>
      <c r="C175" s="304"/>
      <c r="D175" s="304"/>
      <c r="E175" s="285" t="s">
        <v>259</v>
      </c>
      <c r="I175" s="293"/>
      <c r="J175" s="268"/>
    </row>
    <row r="176" spans="1:14" ht="14.45" customHeight="1" x14ac:dyDescent="0.25">
      <c r="B176" s="292"/>
      <c r="C176" s="298" t="s">
        <v>222</v>
      </c>
      <c r="D176" s="298"/>
      <c r="E176" s="278" t="s">
        <v>223</v>
      </c>
      <c r="F176" s="291"/>
      <c r="G176" s="291"/>
      <c r="H176" s="267"/>
      <c r="I176" s="267"/>
      <c r="J176" s="268"/>
    </row>
    <row r="177" spans="1:14" ht="14.45" customHeight="1" x14ac:dyDescent="0.25">
      <c r="B177" s="292"/>
      <c r="C177" s="299"/>
      <c r="D177" s="299"/>
      <c r="E177" s="285" t="s">
        <v>224</v>
      </c>
      <c r="F177" s="301"/>
      <c r="G177" s="301"/>
      <c r="H177" s="305"/>
      <c r="I177" s="306"/>
      <c r="J177" s="268"/>
      <c r="K177" s="301"/>
    </row>
    <row r="178" spans="1:14" ht="14.45" customHeight="1" x14ac:dyDescent="0.25">
      <c r="B178" s="292"/>
      <c r="C178" s="299"/>
      <c r="D178" s="299"/>
      <c r="E178" s="278" t="s">
        <v>225</v>
      </c>
      <c r="F178" s="306"/>
      <c r="G178" s="306"/>
      <c r="H178" s="307"/>
      <c r="I178" s="306"/>
      <c r="J178" s="268"/>
      <c r="K178" s="301"/>
    </row>
    <row r="179" spans="1:14" ht="14.45" customHeight="1" x14ac:dyDescent="0.25">
      <c r="B179" s="292"/>
      <c r="C179" s="299"/>
      <c r="D179" s="299"/>
      <c r="E179" s="285" t="s">
        <v>226</v>
      </c>
      <c r="I179" s="267"/>
      <c r="J179" s="268"/>
    </row>
    <row r="180" spans="1:14" ht="14.45" customHeight="1" x14ac:dyDescent="0.25">
      <c r="B180" s="292"/>
      <c r="C180" s="308" t="s">
        <v>227</v>
      </c>
      <c r="D180" s="308"/>
      <c r="E180" s="254" t="s">
        <v>228</v>
      </c>
      <c r="F180" s="291"/>
      <c r="G180" s="291"/>
      <c r="H180" s="267"/>
      <c r="I180" s="267"/>
      <c r="J180" s="268"/>
    </row>
    <row r="181" spans="1:14" s="4" customFormat="1" ht="13.9" customHeight="1" x14ac:dyDescent="0.25">
      <c r="A181"/>
      <c r="B181" s="292"/>
      <c r="C181" s="309"/>
      <c r="D181" s="309"/>
      <c r="E181" s="285" t="s">
        <v>229</v>
      </c>
      <c r="F181" s="2"/>
      <c r="G181" s="2"/>
      <c r="H181" s="31"/>
      <c r="I181" s="31"/>
      <c r="L181"/>
      <c r="M181"/>
      <c r="N181"/>
    </row>
    <row r="182" spans="1:14" s="4" customFormat="1" ht="15.6" customHeight="1" x14ac:dyDescent="0.25">
      <c r="A182"/>
      <c r="B182" s="310"/>
      <c r="C182" s="24"/>
      <c r="D182"/>
      <c r="E182" s="311" t="s">
        <v>230</v>
      </c>
      <c r="F182" s="312"/>
      <c r="G182" s="312"/>
      <c r="H182" s="313"/>
      <c r="I182" s="313"/>
      <c r="J182" s="288"/>
      <c r="L182"/>
      <c r="M182"/>
      <c r="N182"/>
    </row>
  </sheetData>
  <mergeCells count="95">
    <mergeCell ref="E172:J172"/>
    <mergeCell ref="C176:D179"/>
    <mergeCell ref="C180:D181"/>
    <mergeCell ref="B148:B182"/>
    <mergeCell ref="C148:D150"/>
    <mergeCell ref="C151:D151"/>
    <mergeCell ref="C152:D153"/>
    <mergeCell ref="C154:D157"/>
    <mergeCell ref="C161:D165"/>
    <mergeCell ref="C166:D170"/>
    <mergeCell ref="C171:D175"/>
    <mergeCell ref="B142:B146"/>
    <mergeCell ref="C142:D142"/>
    <mergeCell ref="E142:H142"/>
    <mergeCell ref="C143:D143"/>
    <mergeCell ref="E143:H143"/>
    <mergeCell ref="C144:D144"/>
    <mergeCell ref="E144:H144"/>
    <mergeCell ref="C145:D146"/>
    <mergeCell ref="E135:H135"/>
    <mergeCell ref="C136:D137"/>
    <mergeCell ref="E136:H136"/>
    <mergeCell ref="E137:H137"/>
    <mergeCell ref="B139:B140"/>
    <mergeCell ref="C139:D139"/>
    <mergeCell ref="C140:D140"/>
    <mergeCell ref="B128:B137"/>
    <mergeCell ref="C128:D130"/>
    <mergeCell ref="E129:H129"/>
    <mergeCell ref="E130:H130"/>
    <mergeCell ref="C131:D133"/>
    <mergeCell ref="E131:H131"/>
    <mergeCell ref="E132:H132"/>
    <mergeCell ref="E133:H133"/>
    <mergeCell ref="C134:D134"/>
    <mergeCell ref="C135:D135"/>
    <mergeCell ref="B109:D109"/>
    <mergeCell ref="B120:K120"/>
    <mergeCell ref="B122:B125"/>
    <mergeCell ref="I122:J122"/>
    <mergeCell ref="I123:J123"/>
    <mergeCell ref="G124:H124"/>
    <mergeCell ref="I124:J124"/>
    <mergeCell ref="I125:J125"/>
    <mergeCell ref="B102:G102"/>
    <mergeCell ref="B103:I103"/>
    <mergeCell ref="A105:J105"/>
    <mergeCell ref="A106:J106"/>
    <mergeCell ref="B108:D108"/>
    <mergeCell ref="E108:F108"/>
    <mergeCell ref="H108:J108"/>
    <mergeCell ref="B79:I79"/>
    <mergeCell ref="A80:I80"/>
    <mergeCell ref="F86:G86"/>
    <mergeCell ref="F91:G91"/>
    <mergeCell ref="B100:G100"/>
    <mergeCell ref="B101:G101"/>
    <mergeCell ref="A64:K64"/>
    <mergeCell ref="E72:G72"/>
    <mergeCell ref="F73:G73"/>
    <mergeCell ref="F74:G74"/>
    <mergeCell ref="E75:G75"/>
    <mergeCell ref="B78:I78"/>
    <mergeCell ref="F33:G33"/>
    <mergeCell ref="F34:G34"/>
    <mergeCell ref="B35:D37"/>
    <mergeCell ref="A40:K40"/>
    <mergeCell ref="A47:K47"/>
    <mergeCell ref="A55:K55"/>
    <mergeCell ref="A25:K25"/>
    <mergeCell ref="F26:G27"/>
    <mergeCell ref="C28:D28"/>
    <mergeCell ref="F28:G28"/>
    <mergeCell ref="A29:K29"/>
    <mergeCell ref="F32:G32"/>
    <mergeCell ref="A14:G14"/>
    <mergeCell ref="A15:K15"/>
    <mergeCell ref="E16:G16"/>
    <mergeCell ref="F17:G17"/>
    <mergeCell ref="F18:G18"/>
    <mergeCell ref="B23:D24"/>
    <mergeCell ref="A11:B11"/>
    <mergeCell ref="C11:D11"/>
    <mergeCell ref="H11:H13"/>
    <mergeCell ref="I11:I13"/>
    <mergeCell ref="J11:J13"/>
    <mergeCell ref="K11:K13"/>
    <mergeCell ref="A12:B12"/>
    <mergeCell ref="C12:D12"/>
    <mergeCell ref="I2:K2"/>
    <mergeCell ref="B6:B8"/>
    <mergeCell ref="G6:K6"/>
    <mergeCell ref="G7:H7"/>
    <mergeCell ref="J8:K8"/>
    <mergeCell ref="A10:K10"/>
  </mergeCells>
  <conditionalFormatting sqref="E11">
    <cfRule type="expression" dxfId="81" priority="78">
      <formula>(E11)=""</formula>
    </cfRule>
  </conditionalFormatting>
  <conditionalFormatting sqref="C12">
    <cfRule type="expression" dxfId="80" priority="77">
      <formula>$C$12=""</formula>
    </cfRule>
  </conditionalFormatting>
  <conditionalFormatting sqref="I65:I68">
    <cfRule type="expression" dxfId="79" priority="76">
      <formula>AND(COUNTA($F65)&gt;0,COUNTA($I65)=0)</formula>
    </cfRule>
  </conditionalFormatting>
  <conditionalFormatting sqref="I50 I48">
    <cfRule type="expression" dxfId="78" priority="75">
      <formula>AND(($I$48)="x",($I$50)="x")</formula>
    </cfRule>
  </conditionalFormatting>
  <conditionalFormatting sqref="I51">
    <cfRule type="expression" dxfId="77" priority="74">
      <formula>AND(($I$48)="x",($I$50)="x",($I$51)="x")</formula>
    </cfRule>
  </conditionalFormatting>
  <conditionalFormatting sqref="I51 I48">
    <cfRule type="expression" dxfId="76" priority="73">
      <formula>AND(($I$48)="x",($I$51)="x")</formula>
    </cfRule>
  </conditionalFormatting>
  <conditionalFormatting sqref="I48:I49">
    <cfRule type="expression" dxfId="75" priority="72">
      <formula>COUNTA($I$48:$I$49)&gt;1</formula>
    </cfRule>
  </conditionalFormatting>
  <conditionalFormatting sqref="F33">
    <cfRule type="expression" dxfId="74" priority="48">
      <formula>$I$33="x"</formula>
    </cfRule>
  </conditionalFormatting>
  <conditionalFormatting sqref="E75">
    <cfRule type="expression" dxfId="73" priority="70">
      <formula>$E$75&lt;&gt;""</formula>
    </cfRule>
    <cfRule type="expression" dxfId="72" priority="71">
      <formula>$I$75="x"</formula>
    </cfRule>
  </conditionalFormatting>
  <conditionalFormatting sqref="E72">
    <cfRule type="expression" dxfId="71" priority="68">
      <formula>$E$72&lt;&gt;""</formula>
    </cfRule>
    <cfRule type="expression" dxfId="70" priority="69">
      <formula>$I$72="x"</formula>
    </cfRule>
  </conditionalFormatting>
  <conditionalFormatting sqref="E74">
    <cfRule type="expression" dxfId="69" priority="64">
      <formula>$E$74:$G$74&lt;&gt;""</formula>
    </cfRule>
    <cfRule type="expression" dxfId="68" priority="67">
      <formula>$I$74="x"</formula>
    </cfRule>
  </conditionalFormatting>
  <conditionalFormatting sqref="E73">
    <cfRule type="expression" dxfId="67" priority="65">
      <formula>$E$73:$G$73&lt;&gt;""</formula>
    </cfRule>
    <cfRule type="expression" dxfId="66" priority="66">
      <formula>$I$73="x"</formula>
    </cfRule>
  </conditionalFormatting>
  <conditionalFormatting sqref="F86">
    <cfRule type="expression" dxfId="65" priority="22">
      <formula>$I$86="X"</formula>
    </cfRule>
  </conditionalFormatting>
  <conditionalFormatting sqref="F32">
    <cfRule type="expression" dxfId="64" priority="62">
      <formula>($I$32)="x"</formula>
    </cfRule>
  </conditionalFormatting>
  <conditionalFormatting sqref="F32">
    <cfRule type="expression" priority="63">
      <formula>$I$32=""</formula>
    </cfRule>
  </conditionalFormatting>
  <conditionalFormatting sqref="G38">
    <cfRule type="expression" dxfId="63" priority="28">
      <formula>$I$38&lt;&gt;""</formula>
    </cfRule>
    <cfRule type="expression" dxfId="62" priority="60">
      <formula>$I$38="x"</formula>
    </cfRule>
  </conditionalFormatting>
  <conditionalFormatting sqref="G39">
    <cfRule type="expression" dxfId="61" priority="27">
      <formula>$I$39&lt;&gt;""</formula>
    </cfRule>
    <cfRule type="expression" dxfId="60" priority="59">
      <formula>$I$39="x"</formula>
    </cfRule>
  </conditionalFormatting>
  <conditionalFormatting sqref="F73">
    <cfRule type="expression" dxfId="59" priority="58">
      <formula>$I$73&lt;&gt;""</formula>
    </cfRule>
  </conditionalFormatting>
  <conditionalFormatting sqref="F74">
    <cfRule type="expression" dxfId="58" priority="57">
      <formula>$I$74&lt;&gt;""</formula>
    </cfRule>
  </conditionalFormatting>
  <conditionalFormatting sqref="I50:I51">
    <cfRule type="expression" dxfId="57" priority="79">
      <formula>AND(($I$50)="x",($I$51)="x")</formula>
    </cfRule>
  </conditionalFormatting>
  <conditionalFormatting sqref="E16">
    <cfRule type="expression" dxfId="56" priority="56">
      <formula>$E$16=""</formula>
    </cfRule>
  </conditionalFormatting>
  <conditionalFormatting sqref="F17">
    <cfRule type="expression" dxfId="55" priority="55">
      <formula>$F$17=""</formula>
    </cfRule>
  </conditionalFormatting>
  <conditionalFormatting sqref="F18">
    <cfRule type="expression" dxfId="54" priority="54">
      <formula>$F$18=""</formula>
    </cfRule>
  </conditionalFormatting>
  <conditionalFormatting sqref="E21">
    <cfRule type="expression" dxfId="53" priority="19">
      <formula>$I$21&lt;&gt;"x"</formula>
    </cfRule>
    <cfRule type="expression" dxfId="52" priority="53">
      <formula>AND($I$21&lt;&gt;0,$E$21="")</formula>
    </cfRule>
  </conditionalFormatting>
  <conditionalFormatting sqref="E20">
    <cfRule type="expression" dxfId="51" priority="20">
      <formula>$I$20&lt;&gt;"x"</formula>
    </cfRule>
    <cfRule type="expression" dxfId="50" priority="52">
      <formula>AND($I$20&lt;&gt;0,$E$20="")</formula>
    </cfRule>
  </conditionalFormatting>
  <conditionalFormatting sqref="F35:F37">
    <cfRule type="expression" dxfId="49" priority="80">
      <formula>AND(($F$34)=3,COUNTA($F$35:$F$37)&lt;&gt;3)</formula>
    </cfRule>
    <cfRule type="expression" dxfId="48" priority="81">
      <formula>AND(($F$34)=2,COUNTA($F$35:$F$37)&lt;&gt;2)</formula>
    </cfRule>
    <cfRule type="expression" dxfId="47" priority="82">
      <formula>AND(($F$34)=1,COUNTA($F$35:$F$37)&lt;&gt;1)</formula>
    </cfRule>
  </conditionalFormatting>
  <conditionalFormatting sqref="I20:I24">
    <cfRule type="expression" dxfId="46" priority="51">
      <formula>COUNTA($I$20:$I$24)&gt;1</formula>
    </cfRule>
  </conditionalFormatting>
  <conditionalFormatting sqref="E20:E21">
    <cfRule type="expression" dxfId="45" priority="50">
      <formula>COUNTA($E$20:$E$21)&gt;1</formula>
    </cfRule>
  </conditionalFormatting>
  <conditionalFormatting sqref="F28">
    <cfRule type="expression" dxfId="44" priority="15">
      <formula>$F$28&lt;&gt;""</formula>
    </cfRule>
    <cfRule type="expression" dxfId="43" priority="49">
      <formula>$I$28="x"</formula>
    </cfRule>
  </conditionalFormatting>
  <conditionalFormatting sqref="F34">
    <cfRule type="expression" dxfId="42" priority="46">
      <formula>$F$34&lt;&gt;""</formula>
    </cfRule>
    <cfRule type="expression" dxfId="41" priority="47">
      <formula>$I$34&lt;&gt;""</formula>
    </cfRule>
  </conditionalFormatting>
  <conditionalFormatting sqref="I54 I49">
    <cfRule type="expression" dxfId="40" priority="45">
      <formula>AND(($I$54)="x",($I$49)="x")</formula>
    </cfRule>
  </conditionalFormatting>
  <conditionalFormatting sqref="G58">
    <cfRule type="expression" dxfId="39" priority="21">
      <formula>$I$58&lt;&gt;"X"</formula>
    </cfRule>
    <cfRule type="expression" dxfId="38" priority="44">
      <formula>$I$58="X"</formula>
    </cfRule>
  </conditionalFormatting>
  <conditionalFormatting sqref="J83">
    <cfRule type="expression" dxfId="37" priority="61">
      <formula>AND(COUNTA($I$83)=1,($J$83=""))</formula>
    </cfRule>
  </conditionalFormatting>
  <conditionalFormatting sqref="J84">
    <cfRule type="expression" dxfId="36" priority="43">
      <formula>AND(COUNTA($I$84)=1,($J$84=""))</formula>
    </cfRule>
  </conditionalFormatting>
  <conditionalFormatting sqref="J85">
    <cfRule type="expression" dxfId="35" priority="42">
      <formula>AND(COUNTA($I$85)=1,($J$85=""))</formula>
    </cfRule>
  </conditionalFormatting>
  <conditionalFormatting sqref="J86">
    <cfRule type="expression" dxfId="34" priority="41">
      <formula>AND(COUNTA($I$86)=1,($J$86=""))</formula>
    </cfRule>
  </conditionalFormatting>
  <conditionalFormatting sqref="J87">
    <cfRule type="expression" dxfId="33" priority="40">
      <formula>AND(COUNTA($I$87)=1,($J$87=""))</formula>
    </cfRule>
  </conditionalFormatting>
  <conditionalFormatting sqref="J88">
    <cfRule type="expression" dxfId="32" priority="39">
      <formula>AND(COUNTA($I$88)=1,($J$88=""))</formula>
    </cfRule>
  </conditionalFormatting>
  <conditionalFormatting sqref="J89">
    <cfRule type="expression" dxfId="31" priority="38">
      <formula>AND(COUNTA($I$89)=1,($J$89=""))</formula>
    </cfRule>
  </conditionalFormatting>
  <conditionalFormatting sqref="J90">
    <cfRule type="expression" dxfId="30" priority="37">
      <formula>AND(COUNTA($I$90)=1,($J$90=""))</formula>
    </cfRule>
  </conditionalFormatting>
  <conditionalFormatting sqref="J91">
    <cfRule type="expression" dxfId="29" priority="36">
      <formula>AND(COUNTA($I$91)=1,($J$91=""))</formula>
    </cfRule>
  </conditionalFormatting>
  <conditionalFormatting sqref="J92">
    <cfRule type="expression" dxfId="28" priority="35">
      <formula>AND(COUNTA($I$92)=1,($J$92=""))</formula>
    </cfRule>
  </conditionalFormatting>
  <conditionalFormatting sqref="J94">
    <cfRule type="expression" dxfId="27" priority="34">
      <formula>AND(COUNTA($I$94)=1,($J$94=""))</formula>
    </cfRule>
  </conditionalFormatting>
  <conditionalFormatting sqref="J96">
    <cfRule type="expression" dxfId="26" priority="33">
      <formula>AND(COUNTA($I$96)=1,($J$96=""))</formula>
    </cfRule>
  </conditionalFormatting>
  <conditionalFormatting sqref="J97">
    <cfRule type="expression" dxfId="25" priority="32">
      <formula>AND(COUNTA($I$97)=1,($J$97=""))</formula>
    </cfRule>
  </conditionalFormatting>
  <conditionalFormatting sqref="J98">
    <cfRule type="expression" dxfId="24" priority="31">
      <formula>AND(COUNTA($I$98)=1,($J$98=""))</formula>
    </cfRule>
  </conditionalFormatting>
  <conditionalFormatting sqref="I100:J100">
    <cfRule type="expression" dxfId="23" priority="30">
      <formula>AND(COUNTA($H$100)=1,($I$100:$J$100=""))</formula>
    </cfRule>
  </conditionalFormatting>
  <conditionalFormatting sqref="I102:J102">
    <cfRule type="expression" dxfId="22" priority="29">
      <formula>AND(COUNTA($H$102)=1,($I$102:$J$102=""))</formula>
    </cfRule>
  </conditionalFormatting>
  <conditionalFormatting sqref="I101:J101">
    <cfRule type="expression" dxfId="21" priority="26">
      <formula>AND(COUNTA($H$101)=1,($I$101:$J$101=""))</formula>
    </cfRule>
  </conditionalFormatting>
  <conditionalFormatting sqref="J100">
    <cfRule type="expression" dxfId="20" priority="25">
      <formula>AND(COUNTA($I$100)=1,($J$100=""))</formula>
    </cfRule>
  </conditionalFormatting>
  <conditionalFormatting sqref="J101">
    <cfRule type="expression" dxfId="19" priority="24">
      <formula>AND(COUNTA($I$101)=1,($J$101=""))</formula>
    </cfRule>
  </conditionalFormatting>
  <conditionalFormatting sqref="J102">
    <cfRule type="expression" dxfId="18" priority="23">
      <formula>AND(COUNTA($I$102)=1,($J$102=""))</formula>
    </cfRule>
  </conditionalFormatting>
  <conditionalFormatting sqref="E22">
    <cfRule type="expression" dxfId="17" priority="18">
      <formula>$I$22="x"</formula>
    </cfRule>
  </conditionalFormatting>
  <conditionalFormatting sqref="E23">
    <cfRule type="expression" dxfId="16" priority="17">
      <formula>$I$23="x"</formula>
    </cfRule>
  </conditionalFormatting>
  <conditionalFormatting sqref="E24">
    <cfRule type="expression" dxfId="15" priority="16">
      <formula>$I$24="x"</formula>
    </cfRule>
  </conditionalFormatting>
  <conditionalFormatting sqref="I26:I27">
    <cfRule type="expression" dxfId="14" priority="14">
      <formula>COUNTA($I$26:$I$27)&gt;1</formula>
    </cfRule>
  </conditionalFormatting>
  <conditionalFormatting sqref="G77">
    <cfRule type="expression" dxfId="13" priority="12">
      <formula>$I$76="x"</formula>
    </cfRule>
    <cfRule type="expression" dxfId="12" priority="13">
      <formula>$I$77="x"</formula>
    </cfRule>
  </conditionalFormatting>
  <conditionalFormatting sqref="I58">
    <cfRule type="expression" dxfId="11" priority="83">
      <formula>COUNTA($I$57:$I$58)&gt;1</formula>
    </cfRule>
  </conditionalFormatting>
  <conditionalFormatting sqref="I34">
    <cfRule type="expression" dxfId="10" priority="11">
      <formula>AND(($I$34)="x",($I$20&lt;&gt;"x"))</formula>
    </cfRule>
  </conditionalFormatting>
  <conditionalFormatting sqref="H20 J20">
    <cfRule type="expression" dxfId="9" priority="10">
      <formula>OR($I$21&lt;&gt;"",$I$22&lt;&gt;"",$I$23&lt;&gt;"",$I$24&lt;&gt;"")</formula>
    </cfRule>
  </conditionalFormatting>
  <conditionalFormatting sqref="H26 J26">
    <cfRule type="expression" dxfId="8" priority="9">
      <formula>$I$27&lt;&gt;""</formula>
    </cfRule>
  </conditionalFormatting>
  <conditionalFormatting sqref="H57 J57">
    <cfRule type="expression" dxfId="7" priority="8">
      <formula>$I$58&lt;&gt;""</formula>
    </cfRule>
  </conditionalFormatting>
  <conditionalFormatting sqref="I88 I91">
    <cfRule type="expression" dxfId="6" priority="7">
      <formula>AND(($I$88&lt;&gt;""),($I$91=""))</formula>
    </cfRule>
  </conditionalFormatting>
  <conditionalFormatting sqref="I87 I91">
    <cfRule type="expression" dxfId="5" priority="6">
      <formula>AND(OR($I$89&lt;&gt;"",$I$90&lt;&gt;""),$I$87="",$I$91="")</formula>
    </cfRule>
  </conditionalFormatting>
  <conditionalFormatting sqref="F91">
    <cfRule type="expression" dxfId="4" priority="5">
      <formula>$I$91="x"</formula>
    </cfRule>
  </conditionalFormatting>
  <conditionalFormatting sqref="E91">
    <cfRule type="expression" dxfId="3" priority="1">
      <formula>AND(($E$91="Pilotis"),$I$88&lt;&gt;"")</formula>
    </cfRule>
    <cfRule type="expression" dxfId="2" priority="2">
      <formula>AND(($E$91="Encorbellement"),$I$90&lt;&gt;"")</formula>
    </cfRule>
    <cfRule type="expression" dxfId="1" priority="3">
      <formula>AND(($E$91="Encorbellement"),$I$89&lt;&gt;"")</formula>
    </cfRule>
    <cfRule type="expression" dxfId="0" priority="4">
      <formula>$I$91&lt;&gt;""</formula>
    </cfRule>
  </conditionalFormatting>
  <dataValidations count="11">
    <dataValidation type="list" allowBlank="1" showInputMessage="1" showErrorMessage="1" sqref="E91" xr:uid="{72DB1BE4-7FDD-44E7-BE17-6478D9FB618E}">
      <formula1>"Encorbellement,pilotis"</formula1>
    </dataValidation>
    <dataValidation type="whole" allowBlank="1" showInputMessage="1" showErrorMessage="1" error="Merci de préciser l'option 1 pente ou 2 pentes avant de saisir la quantité" promptTitle="ATTENTION" prompt="Merci de préciser l'option 1 pente ou 2 pentes avant de saisir la quantité" sqref="C12" xr:uid="{22CD602E-2C7B-481A-9F37-C427EB40FBB3}">
      <formula1>1</formula1>
      <formula2>100</formula2>
    </dataValidation>
    <dataValidation type="list" allowBlank="1" showInputMessage="1" showErrorMessage="1" sqref="E11" xr:uid="{EC158E52-A219-4F63-AC5A-B0BDB5A89E24}">
      <formula1>"1 Pente,2 Pentes"</formula1>
    </dataValidation>
    <dataValidation type="custom" allowBlank="1" showInputMessage="1" showErrorMessage="1" sqref="I91" xr:uid="{7727F540-C887-478C-BBFA-19F38B991710}">
      <formula1>I1048570="x"</formula1>
    </dataValidation>
    <dataValidation type="custom" allowBlank="1" showInputMessage="1" showErrorMessage="1" sqref="I96 I21:I24 I26:I28 I41:I46 I48:I54 I72:I77 I56:I63 I101:I102 I30:I39 I65:I70 I83:I90" xr:uid="{B408A810-AB78-4C08-B978-845A81BC8F6B}">
      <formula1>I21="x"</formula1>
    </dataValidation>
    <dataValidation type="list" allowBlank="1" showInputMessage="1" showErrorMessage="1" sqref="G77 K5 G46 G65" xr:uid="{647E13E8-6CA7-4B46-AB10-6445589FFC75}">
      <formula1>"Oui,Non"</formula1>
    </dataValidation>
    <dataValidation type="list" allowBlank="1" showInputMessage="1" showErrorMessage="1" sqref="G38:G39" xr:uid="{4F147A4A-6BBC-404E-91C4-F8D654C865B2}">
      <formula1>"1,2,3,4,5,6"</formula1>
    </dataValidation>
    <dataValidation type="custom" allowBlank="1" showInputMessage="1" showErrorMessage="1" sqref="I100 I92:I94" xr:uid="{95C01DBE-7E48-4B8A-A6C3-E33728095074}">
      <formula1>I4="x"</formula1>
    </dataValidation>
    <dataValidation type="custom" allowBlank="1" showInputMessage="1" showErrorMessage="1" sqref="I98" xr:uid="{D322D366-8A10-4327-9A87-191CD0ACF334}">
      <formula1>I9="x"</formula1>
    </dataValidation>
    <dataValidation type="custom" allowBlank="1" showInputMessage="1" showErrorMessage="1" sqref="I97" xr:uid="{18882F99-7A13-44E8-A659-9887DE2A65AB}">
      <formula1>I96="x"</formula1>
    </dataValidation>
    <dataValidation allowBlank="1" showInputMessage="1" showErrorMessage="1" sqref="F20" xr:uid="{FD041C76-530D-44C1-90FF-DF8CED0568BB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hebergement 1</vt:lpstr>
      <vt:lpstr>page de garde</vt:lpstr>
      <vt:lpstr>traduction</vt:lpstr>
      <vt:lpstr>hebergement 2</vt:lpstr>
      <vt:lpstr>ChoixLangue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Saussiné</dc:creator>
  <cp:lastModifiedBy>Stella Saussiné</cp:lastModifiedBy>
  <dcterms:created xsi:type="dcterms:W3CDTF">2022-06-28T12:28:17Z</dcterms:created>
  <dcterms:modified xsi:type="dcterms:W3CDTF">2022-06-28T12:44:39Z</dcterms:modified>
</cp:coreProperties>
</file>